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1.1" sheetId="1" state="visible" r:id="rId1"/>
    <sheet name="1.2" sheetId="2" state="visible" r:id="rId2"/>
    <sheet name="1.3" sheetId="3" state="visible" r:id="rId3"/>
  </sheets>
  <calcPr/>
</workbook>
</file>

<file path=xl/sharedStrings.xml><?xml version="1.0" encoding="utf-8"?>
<sst xmlns="http://schemas.openxmlformats.org/spreadsheetml/2006/main" count="135" uniqueCount="135">
  <si>
    <t>Показатель</t>
  </si>
  <si>
    <t xml:space="preserve">Источник/алгоритм расчета</t>
  </si>
  <si>
    <t>Продукт</t>
  </si>
  <si>
    <t>Вариант</t>
  </si>
  <si>
    <t>A</t>
  </si>
  <si>
    <t>B</t>
  </si>
  <si>
    <t>C</t>
  </si>
  <si>
    <t>D</t>
  </si>
  <si>
    <t>E</t>
  </si>
  <si>
    <t>F</t>
  </si>
  <si>
    <t xml:space="preserve">1. Выручка от реализации товара в 2016 г., тыс.руб.</t>
  </si>
  <si>
    <t xml:space="preserve">исх. данные</t>
  </si>
  <si>
    <t xml:space="preserve">2. Выручка от реализации товара в 2017 г., тыс.руб.</t>
  </si>
  <si>
    <t xml:space="preserve">3. Объем продаж конкурента в 2017 г., тыс. руб.</t>
  </si>
  <si>
    <t xml:space="preserve">4. Темп роста рынка, %</t>
  </si>
  <si>
    <t>(п.2/п.1)*100%</t>
  </si>
  <si>
    <t xml:space="preserve">5. Относительная доля рынка, %</t>
  </si>
  <si>
    <t>(п.2/п.3)*100%</t>
  </si>
  <si>
    <t xml:space="preserve">6. Тип товара в матрице</t>
  </si>
  <si>
    <t xml:space="preserve">рис. 1.1.</t>
  </si>
  <si>
    <t xml:space="preserve">Дикие кошки </t>
  </si>
  <si>
    <r>
      <rPr>
        <b/>
        <sz val="11"/>
        <color theme="1"/>
        <rFont val="Courier New"/>
      </rPr>
      <t xml:space="preserve">Звезды (B, E)</t>
    </r>
    <r>
      <rPr>
        <sz val="11"/>
        <color theme="1"/>
        <rFont val="Courier New"/>
      </rPr>
      <t xml:space="preserve">  необходимо продолжать поддерживать лидерские позиции товара E, а также попытаться развить товар  B до категории "звезды"</t>
    </r>
  </si>
  <si>
    <r>
      <rPr>
        <b/>
        <sz val="11"/>
        <color theme="1"/>
        <rFont val="Courier New"/>
      </rPr>
      <t xml:space="preserve">Дохлые собаки (A, C, D, F)</t>
    </r>
    <r>
      <rPr>
        <sz val="11"/>
        <color theme="1"/>
        <rFont val="Courier New"/>
      </rPr>
      <t xml:space="preserve"> необходимо попытаться улучшить товары и перевести их в категорию "дойные коровы" либо убрать с рынка</t>
    </r>
  </si>
  <si>
    <r>
      <rPr>
        <b/>
        <sz val="11"/>
        <color theme="1"/>
        <rFont val="Courier New"/>
      </rPr>
      <t xml:space="preserve">Дойные коровы (B)</t>
    </r>
    <r>
      <rPr>
        <sz val="11"/>
        <color theme="1"/>
        <rFont val="Courier New"/>
      </rPr>
      <t xml:space="preserve"> необходимо попытаться развить товар  B до категории "звезды"</t>
    </r>
  </si>
  <si>
    <t>обозначение</t>
  </si>
  <si>
    <t xml:space="preserve">продукция оцениваемого предприятия</t>
  </si>
  <si>
    <t xml:space="preserve">продукция предприятия конкурента</t>
  </si>
  <si>
    <t xml:space="preserve">Коэффициент значимости, Di</t>
  </si>
  <si>
    <t>А</t>
  </si>
  <si>
    <t>Б</t>
  </si>
  <si>
    <t>В</t>
  </si>
  <si>
    <t xml:space="preserve">1. Надежность, тыс. ч.</t>
  </si>
  <si>
    <t>P1</t>
  </si>
  <si>
    <t xml:space="preserve">2. Наработка на отказ, тыс. ч.</t>
  </si>
  <si>
    <t>P2</t>
  </si>
  <si>
    <t xml:space="preserve">3. Экономичность, л/сут.</t>
  </si>
  <si>
    <t>P3</t>
  </si>
  <si>
    <t xml:space="preserve">4. Рабочая температура, градусов</t>
  </si>
  <si>
    <t>P4</t>
  </si>
  <si>
    <t xml:space="preserve">5. Рабочий объем, м3</t>
  </si>
  <si>
    <t>P5</t>
  </si>
  <si>
    <t xml:space="preserve">6. Дизайн, баллы</t>
  </si>
  <si>
    <t>P6</t>
  </si>
  <si>
    <t xml:space="preserve">7. Технологичность, баллов</t>
  </si>
  <si>
    <t>P7</t>
  </si>
  <si>
    <t xml:space="preserve">8. Трудоемкость изготовления, тыс. ч.</t>
  </si>
  <si>
    <t>P8</t>
  </si>
  <si>
    <t xml:space="preserve">9. Материалоемкость, т.</t>
  </si>
  <si>
    <t>P9</t>
  </si>
  <si>
    <t xml:space="preserve">10. Цена, тыс. у. е.</t>
  </si>
  <si>
    <t>S1</t>
  </si>
  <si>
    <t>-</t>
  </si>
  <si>
    <t xml:space="preserve">11. Потребительские затраты, тыс. у. е.</t>
  </si>
  <si>
    <t>S2</t>
  </si>
  <si>
    <t xml:space="preserve">12. Количество, предлагаемое на рынке, тыс. шт.</t>
  </si>
  <si>
    <t>n</t>
  </si>
  <si>
    <t xml:space="preserve">13. Коэффициент значимости товара</t>
  </si>
  <si>
    <t>𝛽</t>
  </si>
  <si>
    <t>Обозначение</t>
  </si>
  <si>
    <t xml:space="preserve">Алгоритм расчета</t>
  </si>
  <si>
    <t xml:space="preserve">Параметры оценки</t>
  </si>
  <si>
    <t xml:space="preserve">Таким образом, полученные индексы конкурентоспособности
продукции свидетельствуют о том, что конкурентоспособность продукта А (IкА = 0,88) меньше предприятия конкурента.
Продукты Б (IкБ = 1,03) и В (IкВ = 1,05), выпускаемые предприятием,
более конкурентоспособны по сравнению с аналогами конкурента. Также, основываясь на индексе конкурентоспособности товарной массы (Ik=1,58), можно сделать вывод о том, что товары, производимые на предприятии, являются конкурентоспособными на рынке.</t>
  </si>
  <si>
    <t xml:space="preserve">Частные индексы технических параметров (индексы качества)</t>
  </si>
  <si>
    <t>Iтп1</t>
  </si>
  <si>
    <t>P1/P1k*D1</t>
  </si>
  <si>
    <t>Iтп2</t>
  </si>
  <si>
    <t>P2/P2k*D2</t>
  </si>
  <si>
    <t>Iтп3</t>
  </si>
  <si>
    <t>P3k/P3*D3</t>
  </si>
  <si>
    <t>Iтп4</t>
  </si>
  <si>
    <t>P4/P14*D4</t>
  </si>
  <si>
    <t>Iтп5</t>
  </si>
  <si>
    <t>P5/P5k*D5</t>
  </si>
  <si>
    <t>Iтп6</t>
  </si>
  <si>
    <t>P6/P6k*D6</t>
  </si>
  <si>
    <t>Iтп7</t>
  </si>
  <si>
    <t>P7/P7k*D7</t>
  </si>
  <si>
    <t>Iтп8</t>
  </si>
  <si>
    <t>P8k/P8*D8</t>
  </si>
  <si>
    <t>Iтп9</t>
  </si>
  <si>
    <t>P9k/P9*D9</t>
  </si>
  <si>
    <t xml:space="preserve">Индекс технических параметров</t>
  </si>
  <si>
    <t>Iтп</t>
  </si>
  <si>
    <t xml:space="preserve">сумма Iтпi</t>
  </si>
  <si>
    <t xml:space="preserve">Индекс экономических параметров</t>
  </si>
  <si>
    <t>Iэп</t>
  </si>
  <si>
    <t>(S1+S2)/(S1k+S2k)</t>
  </si>
  <si>
    <t xml:space="preserve">Индекс конкурентоспособности товара</t>
  </si>
  <si>
    <t>Iк</t>
  </si>
  <si>
    <t>Iтп/Iэп</t>
  </si>
  <si>
    <t xml:space="preserve">Индекс конкурентоспособности товарной массы</t>
  </si>
  <si>
    <t xml:space="preserve">Наименование товара</t>
  </si>
  <si>
    <t xml:space="preserve">Выручка от реализации, тыс. руб.</t>
  </si>
  <si>
    <t>июнь</t>
  </si>
  <si>
    <t>июль</t>
  </si>
  <si>
    <t>август</t>
  </si>
  <si>
    <t xml:space="preserve">Товар 1</t>
  </si>
  <si>
    <t xml:space="preserve">Товар 2</t>
  </si>
  <si>
    <t xml:space="preserve">Товар 3</t>
  </si>
  <si>
    <t xml:space="preserve">Товар 4</t>
  </si>
  <si>
    <t xml:space="preserve">Товар 5</t>
  </si>
  <si>
    <t xml:space="preserve">Товар 6</t>
  </si>
  <si>
    <t xml:space="preserve">Товар 7</t>
  </si>
  <si>
    <t xml:space="preserve">Товар 8</t>
  </si>
  <si>
    <t xml:space="preserve">Товар 9</t>
  </si>
  <si>
    <t xml:space="preserve">Товар 10</t>
  </si>
  <si>
    <t xml:space="preserve">Товар 11</t>
  </si>
  <si>
    <t xml:space="preserve">Товар 12</t>
  </si>
  <si>
    <t xml:space="preserve">Товар 13</t>
  </si>
  <si>
    <t xml:space="preserve">Товар 14</t>
  </si>
  <si>
    <t xml:space="preserve">Товар 15</t>
  </si>
  <si>
    <t xml:space="preserve">Товар 16</t>
  </si>
  <si>
    <t xml:space="preserve">Товар 17</t>
  </si>
  <si>
    <t xml:space="preserve">Товар 18</t>
  </si>
  <si>
    <t xml:space="preserve">Товар 19</t>
  </si>
  <si>
    <t xml:space="preserve">Товар 20</t>
  </si>
  <si>
    <t xml:space="preserve">Доля в выручке</t>
  </si>
  <si>
    <t xml:space="preserve">Доля накопительным итогом</t>
  </si>
  <si>
    <t>ABC</t>
  </si>
  <si>
    <t xml:space="preserve">Среднее значение</t>
  </si>
  <si>
    <t xml:space="preserve">Среднеквадратическое отклонение</t>
  </si>
  <si>
    <t xml:space="preserve">Коэффициент вариации</t>
  </si>
  <si>
    <t>XYZ</t>
  </si>
  <si>
    <t>ABC-XYZ</t>
  </si>
  <si>
    <t>квартал</t>
  </si>
  <si>
    <t xml:space="preserve">Матрица ABC-XYZ</t>
  </si>
  <si>
    <t>X</t>
  </si>
  <si>
    <t xml:space="preserve">10, 17, 5, 9, 13, 18, 15, 20</t>
  </si>
  <si>
    <t xml:space="preserve">19, 8, 12, 2, 16</t>
  </si>
  <si>
    <t xml:space="preserve">4, 14, 7, 6</t>
  </si>
  <si>
    <t>Y</t>
  </si>
  <si>
    <t xml:space="preserve">1, 11</t>
  </si>
  <si>
    <t>Z</t>
  </si>
  <si>
    <t xml:space="preserve">Таким образом по товарам 4, 14, 7, 6 следует уточнить периодичность поставок, что позволит снизить издержки хранения. По остальным товарам (группы АХ и ВХ) необходимо обеспечить контроль за их постоянным наличием на складе, так как спрос на них стабилен. Для товаров групп BY и CY (3, 1, 11) следует увеличить страховой запас на складе исходя из финансовых возможностей. В целом товарный ассортимент организации следует признать сбалансированным.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</si>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</sst>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0" formatCode="0.000"/>
    <numFmt numFmtId="161" formatCode="0.000000"/>
    <numFmt numFmtId="162" formatCode="0.000000000"/>
    <numFmt numFmtId="163" formatCode="0.0000"/>
    <numFmt numFmtId="164" formatCode="0.0"/>
  </numFmts>
  <fonts count="5">
    <font>
      <sz val="11.000000"/>
      <color theme="1"/>
      <name val="Calibri"/>
      <scheme val="minor"/>
    </font>
    <font>
      <sz val="11.000000"/>
      <color theme="1"/>
      <name val="Courier New"/>
    </font>
    <font>
      <b/>
      <sz val="11.000000"/>
      <color theme="1"/>
      <name val="Courier New"/>
    </font>
    <font>
      <sz val="11.000000"/>
      <color theme="1"/>
      <name val="Cambria Math"/>
    </font>
    <font>
      <sz val="12.000000"/>
      <color theme="1"/>
      <name val="Courier New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theme="8" tint="0.79998168889431442"/>
      </patternFill>
    </fill>
  </fills>
  <borders count="30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</borders>
  <cellStyleXfs count="1">
    <xf fontId="0" fillId="0" borderId="0" numFmtId="0" applyNumberFormat="1" applyFont="1" applyFill="1" applyBorder="1"/>
  </cellStyleXfs>
  <cellXfs count="95">
    <xf fontId="0" fillId="0" borderId="0" numFmtId="0" xfId="0"/>
    <xf fontId="1" fillId="0" borderId="0" numFmtId="0" xfId="0" applyFont="1"/>
    <xf fontId="1" fillId="0" borderId="1" numFmtId="0" xfId="0" applyFont="1" applyBorder="1" applyAlignment="1">
      <alignment horizontal="center" vertical="center"/>
    </xf>
    <xf fontId="1" fillId="0" borderId="1" numFmtId="0" xfId="0" applyFont="1" applyBorder="1" applyAlignment="1">
      <alignment horizontal="center" vertical="center" wrapText="1"/>
    </xf>
    <xf fontId="1" fillId="0" borderId="0" numFmtId="0" xfId="0" applyFont="1" applyAlignment="1">
      <alignment horizontal="center" vertical="center"/>
    </xf>
    <xf fontId="1" fillId="0" borderId="2" numFmtId="0" xfId="0" applyFont="1" applyBorder="1" applyAlignment="1">
      <alignment horizontal="center" vertical="center"/>
    </xf>
    <xf fontId="1" fillId="0" borderId="3" numFmtId="1" xfId="0" applyNumberFormat="1" applyFont="1" applyBorder="1" applyAlignment="1">
      <alignment horizontal="center" vertical="center"/>
    </xf>
    <xf fontId="1" fillId="0" borderId="4" numFmtId="0" xfId="0" applyFont="1" applyBorder="1" applyAlignment="1">
      <alignment horizontal="left" vertical="center" wrapText="1"/>
    </xf>
    <xf fontId="1" fillId="0" borderId="5" numFmtId="0" xfId="0" applyFont="1" applyBorder="1" applyAlignment="1">
      <alignment horizontal="center" vertical="center"/>
    </xf>
    <xf fontId="1" fillId="0" borderId="5" numFmtId="1" xfId="0" applyNumberFormat="1" applyFont="1" applyBorder="1" applyAlignment="1">
      <alignment horizontal="center" vertical="center"/>
    </xf>
    <xf fontId="1" fillId="0" borderId="6" numFmtId="1" xfId="0" applyNumberFormat="1" applyFont="1" applyBorder="1" applyAlignment="1">
      <alignment horizontal="center" vertical="center"/>
    </xf>
    <xf fontId="1" fillId="0" borderId="7" numFmtId="0" xfId="0" applyFont="1" applyBorder="1" applyAlignment="1">
      <alignment horizontal="left" vertical="center" wrapText="1"/>
    </xf>
    <xf fontId="1" fillId="0" borderId="8" numFmtId="0" xfId="0" applyFont="1" applyBorder="1" applyAlignment="1">
      <alignment horizontal="center" vertical="center"/>
    </xf>
    <xf fontId="1" fillId="0" borderId="8" numFmtId="1" xfId="0" applyNumberFormat="1" applyFont="1" applyBorder="1" applyAlignment="1">
      <alignment horizontal="center" vertical="center"/>
    </xf>
    <xf fontId="1" fillId="0" borderId="9" numFmtId="1" xfId="0" applyNumberFormat="1" applyFont="1" applyBorder="1" applyAlignment="1">
      <alignment horizontal="center" vertical="center"/>
    </xf>
    <xf fontId="2" fillId="0" borderId="0" numFmtId="0" xfId="0" applyFont="1" applyAlignment="1">
      <alignment vertical="center" wrapText="1"/>
    </xf>
    <xf fontId="1" fillId="0" borderId="0" numFmtId="0" xfId="0" applyFont="1" applyAlignment="1">
      <alignment vertical="center" wrapText="1"/>
    </xf>
    <xf fontId="0" fillId="0" borderId="0" numFmtId="0" xfId="0" applyAlignment="1">
      <alignment wrapText="1"/>
    </xf>
    <xf fontId="1" fillId="0" borderId="0" numFmtId="0" xfId="0" applyFont="1" applyAlignment="1">
      <alignment wrapText="1"/>
    </xf>
    <xf fontId="1" fillId="0" borderId="8" numFmtId="160" xfId="0" applyNumberFormat="1" applyFont="1" applyBorder="1" applyAlignment="1">
      <alignment horizontal="center" vertical="center"/>
    </xf>
    <xf fontId="1" fillId="0" borderId="9" numFmtId="160" xfId="0" applyNumberFormat="1" applyFont="1" applyBorder="1" applyAlignment="1">
      <alignment horizontal="center" vertical="center"/>
    </xf>
    <xf fontId="1" fillId="0" borderId="9" numFmtId="0" xfId="0" applyFont="1" applyBorder="1" applyAlignment="1">
      <alignment horizontal="center" vertical="center"/>
    </xf>
    <xf fontId="0" fillId="0" borderId="0" numFmtId="0" xfId="0" applyAlignment="1">
      <alignment vertical="center" wrapText="1"/>
    </xf>
    <xf fontId="1" fillId="0" borderId="10" numFmtId="0" xfId="0" applyFont="1" applyBorder="1" applyAlignment="1">
      <alignment horizontal="left" vertical="center" wrapText="1"/>
    </xf>
    <xf fontId="1" fillId="0" borderId="11" numFmtId="0" xfId="0" applyFont="1" applyBorder="1" applyAlignment="1">
      <alignment horizontal="center" vertical="center"/>
    </xf>
    <xf fontId="1" fillId="0" borderId="11" numFmtId="0" xfId="0" applyFont="1" applyBorder="1" applyAlignment="1">
      <alignment horizontal="center" vertical="center" wrapText="1"/>
    </xf>
    <xf fontId="1" fillId="0" borderId="12" numFmtId="0" xfId="0" applyFont="1" applyBorder="1" applyAlignment="1">
      <alignment horizontal="center" vertical="center" wrapText="1"/>
    </xf>
    <xf fontId="2" fillId="0" borderId="1" numFmtId="0" xfId="0" applyFont="1" applyBorder="1" applyAlignment="1">
      <alignment horizontal="center" vertical="center" wrapText="1"/>
    </xf>
    <xf fontId="1" fillId="0" borderId="0" numFmtId="0" xfId="0" applyFont="1" applyAlignment="1">
      <alignment horizontal="center" vertical="center" wrapText="1"/>
    </xf>
    <xf fontId="1" fillId="0" borderId="8" numFmtId="0" xfId="0" applyFont="1" applyBorder="1" applyAlignment="1">
      <alignment horizontal="center" vertical="center" wrapText="1"/>
    </xf>
    <xf fontId="1" fillId="0" borderId="5" numFmtId="0" xfId="0" applyFont="1" applyBorder="1" applyAlignment="1">
      <alignment horizontal="center" vertical="center" wrapText="1"/>
    </xf>
    <xf fontId="1" fillId="0" borderId="5" numFmtId="2" xfId="0" applyNumberFormat="1" applyFont="1" applyBorder="1" applyAlignment="1">
      <alignment horizontal="center" vertical="center" wrapText="1"/>
    </xf>
    <xf fontId="1" fillId="0" borderId="6" numFmtId="2" xfId="0" applyNumberFormat="1" applyFont="1" applyBorder="1" applyAlignment="1">
      <alignment horizontal="center" vertical="center" wrapText="1"/>
    </xf>
    <xf fontId="1" fillId="0" borderId="8" numFmtId="2" xfId="0" applyNumberFormat="1" applyFont="1" applyBorder="1" applyAlignment="1">
      <alignment horizontal="center" vertical="center" wrapText="1"/>
    </xf>
    <xf fontId="1" fillId="0" borderId="9" numFmtId="2" xfId="0" applyNumberFormat="1" applyFont="1" applyBorder="1" applyAlignment="1">
      <alignment horizontal="center" vertical="center" wrapText="1"/>
    </xf>
    <xf fontId="3" fillId="0" borderId="11" numFmtId="0" xfId="0" applyFont="1" applyBorder="1" applyAlignment="1">
      <alignment horizontal="center" vertical="center" wrapText="1"/>
    </xf>
    <xf fontId="1" fillId="0" borderId="11" numFmtId="2" xfId="0" applyNumberFormat="1" applyFont="1" applyBorder="1" applyAlignment="1">
      <alignment horizontal="center" vertical="center" wrapText="1"/>
    </xf>
    <xf fontId="1" fillId="0" borderId="13" numFmtId="0" xfId="0" applyFont="1" applyBorder="1" applyAlignment="1">
      <alignment horizontal="center" vertical="center" wrapText="1"/>
    </xf>
    <xf fontId="1" fillId="0" borderId="14" numFmtId="0" xfId="0" applyFont="1" applyBorder="1" applyAlignment="1">
      <alignment horizontal="center" vertical="center"/>
    </xf>
    <xf fontId="1" fillId="0" borderId="15" numFmtId="0" xfId="0" applyFont="1" applyBorder="1" applyAlignment="1">
      <alignment horizontal="center" vertical="center"/>
    </xf>
    <xf fontId="1" fillId="0" borderId="16" numFmtId="0" xfId="0" applyFont="1" applyBorder="1" applyAlignment="1">
      <alignment horizontal="center" vertical="center"/>
    </xf>
    <xf fontId="1" fillId="0" borderId="17" numFmtId="0" xfId="0" applyFont="1" applyBorder="1" applyAlignment="1">
      <alignment horizontal="center" vertical="center"/>
    </xf>
    <xf fontId="1" fillId="0" borderId="5" numFmtId="161" xfId="0" applyNumberFormat="1" applyFont="1" applyBorder="1" applyAlignment="1">
      <alignment horizontal="center" vertical="center" wrapText="1"/>
    </xf>
    <xf fontId="1" fillId="0" borderId="5" numFmtId="162" xfId="0" applyNumberFormat="1" applyFont="1" applyBorder="1" applyAlignment="1">
      <alignment horizontal="center" vertical="center" wrapText="1"/>
    </xf>
    <xf fontId="1" fillId="0" borderId="6" numFmtId="163" xfId="0" applyNumberFormat="1" applyFont="1" applyBorder="1" applyAlignment="1">
      <alignment horizontal="center" vertical="center" wrapText="1"/>
    </xf>
    <xf fontId="1" fillId="0" borderId="8" numFmtId="161" xfId="0" applyNumberFormat="1" applyFont="1" applyBorder="1" applyAlignment="1">
      <alignment horizontal="center" vertical="center" wrapText="1"/>
    </xf>
    <xf fontId="1" fillId="0" borderId="8" numFmtId="162" xfId="0" applyNumberFormat="1" applyFont="1" applyBorder="1" applyAlignment="1">
      <alignment horizontal="center" vertical="center" wrapText="1"/>
    </xf>
    <xf fontId="1" fillId="0" borderId="9" numFmtId="163" xfId="0" applyNumberFormat="1" applyFont="1" applyBorder="1" applyAlignment="1">
      <alignment horizontal="center" vertical="center" wrapText="1"/>
    </xf>
    <xf fontId="2" fillId="0" borderId="11" numFmtId="161" xfId="0" applyNumberFormat="1" applyFont="1" applyBorder="1" applyAlignment="1">
      <alignment horizontal="center" vertical="center" wrapText="1"/>
    </xf>
    <xf fontId="2" fillId="0" borderId="11" numFmtId="162" xfId="0" applyNumberFormat="1" applyFont="1" applyBorder="1" applyAlignment="1">
      <alignment horizontal="center" vertical="center" wrapText="1"/>
    </xf>
    <xf fontId="2" fillId="0" borderId="12" numFmtId="163" xfId="0" applyNumberFormat="1" applyFont="1" applyBorder="1" applyAlignment="1">
      <alignment horizontal="center" vertical="center" wrapText="1"/>
    </xf>
    <xf fontId="1" fillId="0" borderId="18" numFmtId="0" xfId="0" applyFont="1" applyBorder="1" applyAlignment="1">
      <alignment horizontal="center" vertical="center"/>
    </xf>
    <xf fontId="1" fillId="0" borderId="19" numFmtId="0" xfId="0" applyFont="1" applyBorder="1" applyAlignment="1">
      <alignment horizontal="center" vertical="center"/>
    </xf>
    <xf fontId="1" fillId="0" borderId="20" numFmtId="0" xfId="0" applyFont="1" applyBorder="1" applyAlignment="1">
      <alignment horizontal="center" vertical="center"/>
    </xf>
    <xf fontId="4" fillId="0" borderId="0" numFmtId="0" xfId="0" applyFont="1" applyAlignment="1">
      <alignment horizontal="center" vertical="center" wrapText="1"/>
    </xf>
    <xf fontId="4" fillId="0" borderId="0" numFmtId="0" xfId="0" applyFont="1" applyAlignment="1">
      <alignment vertical="center" wrapText="1"/>
    </xf>
    <xf fontId="1" fillId="0" borderId="21" numFmtId="0" xfId="0" applyFont="1" applyBorder="1" applyAlignment="1">
      <alignment horizontal="center" vertical="center" wrapText="1"/>
    </xf>
    <xf fontId="1" fillId="0" borderId="22" numFmtId="0" xfId="0" applyFont="1" applyBorder="1" applyAlignment="1">
      <alignment horizontal="center" vertical="center" wrapText="1"/>
    </xf>
    <xf fontId="1" fillId="0" borderId="23" numFmtId="0" xfId="0" applyFont="1" applyBorder="1" applyAlignment="1">
      <alignment horizontal="center" vertical="center"/>
    </xf>
    <xf fontId="1" fillId="0" borderId="4" numFmtId="0" xfId="0" applyFont="1" applyBorder="1" applyAlignment="1">
      <alignment horizontal="left" vertical="center"/>
    </xf>
    <xf fontId="1" fillId="0" borderId="5" numFmtId="2" xfId="0" applyNumberFormat="1" applyFont="1" applyBorder="1" applyAlignment="1">
      <alignment horizontal="center" vertical="center"/>
    </xf>
    <xf fontId="1" fillId="0" borderId="6" numFmtId="2" xfId="0" applyNumberFormat="1" applyFont="1" applyBorder="1" applyAlignment="1">
      <alignment horizontal="center" vertical="center"/>
    </xf>
    <xf fontId="1" fillId="0" borderId="7" numFmtId="0" xfId="0" applyFont="1" applyBorder="1" applyAlignment="1">
      <alignment horizontal="left" vertical="center"/>
    </xf>
    <xf fontId="1" fillId="0" borderId="8" numFmtId="2" xfId="0" applyNumberFormat="1" applyFont="1" applyBorder="1" applyAlignment="1">
      <alignment horizontal="center" vertical="center"/>
    </xf>
    <xf fontId="1" fillId="0" borderId="9" numFmtId="2" xfId="0" applyNumberFormat="1" applyFont="1" applyBorder="1" applyAlignment="1">
      <alignment horizontal="center" vertical="center"/>
    </xf>
    <xf fontId="1" fillId="0" borderId="10" numFmtId="0" xfId="0" applyFont="1" applyBorder="1" applyAlignment="1">
      <alignment horizontal="left" vertical="center"/>
    </xf>
    <xf fontId="1" fillId="0" borderId="11" numFmtId="2" xfId="0" applyNumberFormat="1" applyFont="1" applyBorder="1" applyAlignment="1">
      <alignment horizontal="center" vertical="center"/>
    </xf>
    <xf fontId="1" fillId="0" borderId="12" numFmtId="2" xfId="0" applyNumberFormat="1" applyFont="1" applyBorder="1" applyAlignment="1">
      <alignment horizontal="center" vertical="center"/>
    </xf>
    <xf fontId="1" fillId="0" borderId="5" numFmtId="164" xfId="0" applyNumberFormat="1" applyFont="1" applyBorder="1" applyAlignment="1">
      <alignment horizontal="right" vertical="center"/>
    </xf>
    <xf fontId="1" fillId="0" borderId="5" numFmtId="160" xfId="0" applyNumberFormat="1" applyFont="1" applyBorder="1" applyAlignment="1">
      <alignment horizontal="right" vertical="center"/>
    </xf>
    <xf fontId="1" fillId="2" borderId="5" numFmtId="0" xfId="0" applyFont="1" applyFill="1" applyBorder="1" applyAlignment="1">
      <alignment horizontal="center" vertical="center"/>
    </xf>
    <xf fontId="1" fillId="0" borderId="6" numFmtId="0" xfId="0" applyFont="1" applyBorder="1" applyAlignment="1">
      <alignment horizontal="center" vertical="center"/>
    </xf>
    <xf fontId="1" fillId="0" borderId="8" numFmtId="164" xfId="0" applyNumberFormat="1" applyFont="1" applyBorder="1" applyAlignment="1">
      <alignment horizontal="right" vertical="center"/>
    </xf>
    <xf fontId="1" fillId="0" borderId="8" numFmtId="160" xfId="0" applyNumberFormat="1" applyFont="1" applyBorder="1" applyAlignment="1">
      <alignment horizontal="right" vertical="center"/>
    </xf>
    <xf fontId="1" fillId="0" borderId="24" numFmtId="0" xfId="0" applyFont="1" applyBorder="1" applyAlignment="1">
      <alignment horizontal="center" vertical="center"/>
    </xf>
    <xf fontId="1" fillId="0" borderId="25" numFmtId="0" xfId="0" applyFont="1" applyBorder="1" applyAlignment="1">
      <alignment horizontal="center" vertical="center"/>
    </xf>
    <xf fontId="1" fillId="0" borderId="26" numFmtId="0" xfId="0" applyFont="1" applyBorder="1" applyAlignment="1">
      <alignment horizontal="center" vertical="center"/>
    </xf>
    <xf fontId="1" fillId="0" borderId="12" numFmtId="0" xfId="0" applyFont="1" applyBorder="1" applyAlignment="1">
      <alignment horizontal="center" vertical="center"/>
    </xf>
    <xf fontId="4" fillId="0" borderId="13" numFmtId="0" xfId="0" applyFont="1" applyBorder="1" applyAlignment="1">
      <alignment horizontal="center" vertical="center" wrapText="1"/>
    </xf>
    <xf fontId="4" fillId="0" borderId="14" numFmtId="0" xfId="0" applyFont="1" applyBorder="1" applyAlignment="1">
      <alignment horizontal="center" vertical="center" wrapText="1"/>
    </xf>
    <xf fontId="4" fillId="0" borderId="15" numFmtId="0" xfId="0" applyFont="1" applyBorder="1" applyAlignment="1">
      <alignment horizontal="center" vertical="center" wrapText="1"/>
    </xf>
    <xf fontId="4" fillId="0" borderId="16" numFmtId="0" xfId="0" applyFont="1" applyBorder="1" applyAlignment="1">
      <alignment horizontal="center" vertical="center" wrapText="1"/>
    </xf>
    <xf fontId="4" fillId="0" borderId="17" numFmtId="0" xfId="0" applyFont="1" applyBorder="1" applyAlignment="1">
      <alignment horizontal="center" vertical="center" wrapText="1"/>
    </xf>
    <xf fontId="1" fillId="3" borderId="5" numFmtId="0" xfId="0" applyFont="1" applyFill="1" applyBorder="1" applyAlignment="1">
      <alignment horizontal="center" vertical="center"/>
    </xf>
    <xf fontId="1" fillId="4" borderId="5" numFmtId="0" xfId="0" applyFont="1" applyFill="1" applyBorder="1" applyAlignment="1">
      <alignment horizontal="center" vertical="center"/>
    </xf>
    <xf fontId="1" fillId="0" borderId="27" numFmtId="0" xfId="0" applyFont="1" applyBorder="1" applyAlignment="1">
      <alignment horizontal="left" vertical="center"/>
    </xf>
    <xf fontId="1" fillId="0" borderId="28" numFmtId="164" xfId="0" applyNumberFormat="1" applyFont="1" applyBorder="1" applyAlignment="1">
      <alignment horizontal="right" vertical="center"/>
    </xf>
    <xf fontId="1" fillId="0" borderId="28" numFmtId="160" xfId="0" applyNumberFormat="1" applyFont="1" applyBorder="1" applyAlignment="1">
      <alignment horizontal="right" vertical="center"/>
    </xf>
    <xf fontId="1" fillId="0" borderId="28" numFmtId="0" xfId="0" applyFont="1" applyBorder="1" applyAlignment="1">
      <alignment horizontal="center" vertical="center"/>
    </xf>
    <xf fontId="1" fillId="0" borderId="29" numFmtId="0" xfId="0" applyFont="1" applyBorder="1" applyAlignment="1">
      <alignment horizontal="center" vertical="center"/>
    </xf>
    <xf fontId="1" fillId="0" borderId="1" numFmtId="164" xfId="0" applyNumberFormat="1" applyFont="1" applyBorder="1" applyAlignment="1">
      <alignment horizontal="center" vertical="center"/>
    </xf>
    <xf fontId="1" fillId="0" borderId="1" numFmtId="2" xfId="0" applyNumberFormat="1" applyFont="1" applyBorder="1" applyAlignment="1">
      <alignment horizontal="center" vertical="center"/>
    </xf>
    <xf fontId="4" fillId="0" borderId="18" numFmtId="0" xfId="0" applyFont="1" applyBorder="1" applyAlignment="1">
      <alignment horizontal="center" vertical="center" wrapText="1"/>
    </xf>
    <xf fontId="4" fillId="0" borderId="19" numFmtId="0" xfId="0" applyFont="1" applyBorder="1" applyAlignment="1">
      <alignment horizontal="center" vertical="center" wrapText="1"/>
    </xf>
    <xf fontId="4" fillId="0" borderId="20" numFmt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Матрица БКГ</a:t>
            </a:r>
            <a:endParaRPr/>
          </a:p>
        </c:rich>
      </c:tx>
      <c:layout>
        <c:manualLayout>
          <c:xMode val="edge"/>
          <c:yMode val="edge"/>
          <c:x val="0.3816804461942257"/>
          <c:y val="0.037037037037037035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28575">
              <a:noFill/>
            </a:ln>
          </c:spPr>
          <c:dLbls>
            <c:dLbl>
              <c:idx val="0"/>
              <c:layout>
                <c:manualLayout>
                  <c:x val="-0.044444444444444446"/>
                  <c:y val="-0.18055555555555561"/>
                </c:manualLayout>
              </c:layout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1"/>
              <c:layout>
                <c:manualLayout>
                  <c:x val="0.019444444444444344"/>
                  <c:y val="0.083333333333333245"/>
                </c:manualLayout>
              </c:layout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2"/>
              <c:layout>
                <c:manualLayout>
                  <c:x val="-0.052777777777777778"/>
                  <c:y val="-0.12500000000000006"/>
                </c:manualLayout>
              </c:layout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3"/>
              <c:layout>
                <c:manualLayout>
                  <c:x val="-0.0055555555555555558"/>
                  <c:y val="0.11574074074074074"/>
                </c:manualLayout>
              </c:layout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4"/>
              <c:layout>
                <c:manualLayout>
                  <c:x val="0"/>
                  <c:y val="0.069444444444444448"/>
                </c:manualLayout>
              </c:layout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5"/>
              <c:layout>
                <c:manualLayout>
                  <c:x val="-0.20000000000000004"/>
                  <c:y val="0.15740740740740733"/>
                </c:manualLayout>
              </c:layout>
              <c:showBubbleSize val="0"/>
              <c:showCatName val="0"/>
              <c:showLegendKey val="0"/>
              <c:showPercent val="0"/>
              <c:showSerName val="0"/>
              <c:showVal val="1"/>
            </c:dLbl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'1.1'!$C$8:$H$8</c:f>
              <c:numCache>
                <c:formatCode>General</c:formatCode>
                <c:ptCount val="6"/>
                <c:pt idx="0">
                  <c:v>92.34375</c:v>
                </c:pt>
                <c:pt idx="1">
                  <c:v>106.00558659217879</c:v>
                </c:pt>
                <c:pt idx="2">
                  <c:v>79.76366322008862</c:v>
                </c:pt>
                <c:pt idx="3">
                  <c:v>96.77819083023545</c:v>
                </c:pt>
                <c:pt idx="4">
                  <c:v>109.93031358885017</c:v>
                </c:pt>
                <c:pt idx="5">
                  <c:v>87.8140703517588</c:v>
                </c:pt>
              </c:numCache>
            </c:numRef>
          </c:xVal>
          <c:yVal>
            <c:numRef>
              <c:f>'1.1'!$C$6:$H$6</c:f>
              <c:numCache>
                <c:formatCode>General</c:formatCode>
                <c:ptCount val="6"/>
                <c:pt idx="0">
                  <c:v>100.16949152542374</c:v>
                </c:pt>
                <c:pt idx="1">
                  <c:v>110.00000000000001</c:v>
                </c:pt>
                <c:pt idx="2">
                  <c:v>98.18181818181819</c:v>
                </c:pt>
                <c:pt idx="3">
                  <c:v>86.29834254143647</c:v>
                </c:pt>
                <c:pt idx="4">
                  <c:v>131.45833333333334</c:v>
                </c:pt>
                <c:pt idx="5">
                  <c:v>86.83229813664596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426118336"/>
        <c:axId val="1426119168"/>
      </c:scatterChart>
      <c:valAx>
        <c:axId val="1426118336"/>
        <c:scaling>
          <c:orientation val="minMax"/>
          <c:max val="120"/>
          <c:min val="75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Относительная</a:t>
                </a:r>
                <a:r>
                  <a:rPr lang="ru-RU"/>
                  <a:t> доля рынка</a:t>
                </a:r>
                <a:endParaRPr lang="ru-RU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cross"/>
        <c:tickLblPos val="low"/>
        <c:spPr bwMode="auto">
          <a:prstGeom prst="rect">
            <a:avLst/>
          </a:prstGeom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426119168"/>
        <c:crosses val="autoZero"/>
        <c:crossesAt val="110"/>
        <c:crossBetween val="midCat"/>
        <c:majorUnit val="5"/>
      </c:valAx>
      <c:valAx>
        <c:axId val="1426119168"/>
        <c:scaling>
          <c:orientation val="minMax"/>
          <c:min val="4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 роста рынка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low"/>
        <c:spPr bwMode="auto">
          <a:prstGeom prst="rect">
            <a:avLst/>
          </a:prstGeom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426118336"/>
        <c:crosses val="autoZero"/>
        <c:crossesAt val="100"/>
        <c:crossBetween val="midCat"/>
        <c:majorUnit val="10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462914" y="2914649"/>
      <a:ext cx="6616064" cy="5084444"/>
    </a:xfrm>
    <a:prstGeom prst="rect">
      <a:avLst/>
    </a:prstGeom>
    <a:solidFill>
      <a:schemeClr val="bg1"/>
    </a:solidFill>
    <a:ln w="19049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2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/>
  </cs:title>
  <cs:trendline>
    <cs:lnRef idx="0">
      <cs:styleClr val="auto"/>
    </cs:lnRef>
    <cs:fillRef idx="0"/>
    <cs:effectRef idx="0"/>
    <cs:fontRef idx="minor">
      <a:schemeClr val="lt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lt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462914</xdr:colOff>
      <xdr:row>10</xdr:row>
      <xdr:rowOff>316229</xdr:rowOff>
    </xdr:from>
    <xdr:to>
      <xdr:col>6</xdr:col>
      <xdr:colOff>480059</xdr:colOff>
      <xdr:row>23</xdr:row>
      <xdr:rowOff>89534</xdr:rowOff>
    </xdr:to>
    <xdr:graphicFrame>
      <xdr:nvGraphicFramePr>
        <xdr:cNvPr id="2" name="Диаграмма 1"/>
        <xdr:cNvGraphicFramePr>
          <a:graphicFrameLocks xmlns:a="http://schemas.openxmlformats.org/drawingml/2006/main"/>
        </xdr:cNvGraphicFramePr>
      </xdr:nvGraphicFramePr>
      <xdr:xfrm>
        <a:off x="462914" y="2914649"/>
        <a:ext cx="6616064" cy="508444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4" activeCellId="0" sqref="G14"/>
    </sheetView>
  </sheetViews>
  <sheetFormatPr defaultRowHeight="14.25"/>
  <cols>
    <col bestFit="1" customWidth="1" min="1" max="1" style="1" width="64.82421875"/>
    <col bestFit="1" customWidth="1" min="2" max="2" style="1" width="24.6015625"/>
    <col min="3" max="4" style="1" width="9.140625"/>
    <col bestFit="1" min="5" max="5" style="1" width="10.7734375"/>
    <col bestFit="1" min="6" max="7" style="1" width="9.37109375"/>
    <col min="8" max="8" style="1" width="9.140625"/>
    <col customWidth="1" min="9" max="9" style="1" width="3.421875"/>
    <col customWidth="1" min="10" max="10" style="1" width="10.140625"/>
    <col customWidth="1" min="11" max="12" style="1" width="3.57421875"/>
    <col customWidth="1" min="13" max="14" style="1" width="27.8515625"/>
    <col customWidth="1" min="15" max="29" style="1" width="9.00390625"/>
    <col min="30" max="16384" style="1" width="9.140625"/>
  </cols>
  <sheetData>
    <row r="1" ht="17.399999999999999" customHeight="1">
      <c r="A1" s="2" t="s">
        <v>0</v>
      </c>
      <c r="B1" s="3" t="s">
        <v>1</v>
      </c>
      <c r="C1" s="2" t="s">
        <v>2</v>
      </c>
      <c r="D1" s="2"/>
      <c r="E1" s="2"/>
      <c r="F1" s="2"/>
      <c r="G1" s="2"/>
      <c r="H1" s="2"/>
      <c r="I1" s="4"/>
      <c r="J1" s="5" t="s">
        <v>3</v>
      </c>
      <c r="K1" s="6">
        <v>4</v>
      </c>
      <c r="L1" s="1"/>
    </row>
    <row r="2">
      <c r="A2" s="2"/>
      <c r="B2" s="3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4"/>
      <c r="J2" s="4"/>
      <c r="K2" s="4"/>
    </row>
    <row r="3" ht="14.4" customHeight="1">
      <c r="A3" s="7" t="s">
        <v>10</v>
      </c>
      <c r="B3" s="8" t="s">
        <v>11</v>
      </c>
      <c r="C3" s="9">
        <v>730</v>
      </c>
      <c r="D3" s="9">
        <v>620</v>
      </c>
      <c r="E3" s="9">
        <v>810</v>
      </c>
      <c r="F3" s="9">
        <v>850</v>
      </c>
      <c r="G3" s="9">
        <v>505</v>
      </c>
      <c r="H3" s="10">
        <v>915</v>
      </c>
      <c r="I3" s="4"/>
      <c r="J3" s="4"/>
      <c r="K3" s="4"/>
    </row>
    <row r="4" ht="14.4" customHeight="1">
      <c r="A4" s="11" t="s">
        <v>12</v>
      </c>
      <c r="B4" s="12" t="s">
        <v>11</v>
      </c>
      <c r="C4" s="13">
        <v>600</v>
      </c>
      <c r="D4" s="13">
        <v>510</v>
      </c>
      <c r="E4" s="13">
        <v>705</v>
      </c>
      <c r="F4" s="13">
        <v>960</v>
      </c>
      <c r="G4" s="13">
        <v>510</v>
      </c>
      <c r="H4" s="14">
        <v>690</v>
      </c>
      <c r="I4" s="4"/>
      <c r="J4" s="4"/>
      <c r="K4" s="4"/>
      <c r="M4" s="15"/>
      <c r="N4" s="16"/>
      <c r="O4" s="16"/>
      <c r="P4" s="17"/>
      <c r="Q4" s="18"/>
      <c r="R4" s="18"/>
    </row>
    <row r="5" ht="14.4" customHeight="1">
      <c r="A5" s="11" t="s">
        <v>13</v>
      </c>
      <c r="B5" s="12" t="s">
        <v>11</v>
      </c>
      <c r="C5" s="13">
        <f>605+5*$K1</f>
        <v>625</v>
      </c>
      <c r="D5" s="13">
        <f>730-2*$K1</f>
        <v>722</v>
      </c>
      <c r="E5" s="13">
        <f>670+1*$K1</f>
        <v>674</v>
      </c>
      <c r="F5" s="13">
        <f>800+1*$K1</f>
        <v>804</v>
      </c>
      <c r="G5" s="13">
        <f>560+2*$K1</f>
        <v>568</v>
      </c>
      <c r="H5" s="14">
        <f>810-2*$K1</f>
        <v>802</v>
      </c>
      <c r="I5" s="4"/>
      <c r="J5" s="4"/>
      <c r="K5" s="4"/>
      <c r="M5" s="16"/>
      <c r="N5" s="16"/>
      <c r="O5" s="16"/>
      <c r="P5" s="18"/>
      <c r="Q5" s="18"/>
      <c r="R5" s="18"/>
    </row>
    <row r="6" ht="14.4" customHeight="1">
      <c r="A6" s="11" t="s">
        <v>14</v>
      </c>
      <c r="B6" s="12" t="s">
        <v>15</v>
      </c>
      <c r="C6" s="19">
        <f>C4/C3*100</f>
        <v>82.191780821917803</v>
      </c>
      <c r="D6" s="19">
        <f t="shared" ref="D6:H6" si="0">D4/D3*100</f>
        <v>82.258064516129039</v>
      </c>
      <c r="E6" s="19">
        <f t="shared" si="0"/>
        <v>87.037037037037038</v>
      </c>
      <c r="F6" s="19">
        <f t="shared" si="0"/>
        <v>112.94117647058823</v>
      </c>
      <c r="G6" s="19">
        <f t="shared" si="0"/>
        <v>100.99009900990099</v>
      </c>
      <c r="H6" s="20">
        <f t="shared" si="0"/>
        <v>75.409836065573771</v>
      </c>
      <c r="I6" s="4"/>
      <c r="J6" s="4"/>
      <c r="K6" s="4"/>
      <c r="M6" s="16"/>
      <c r="N6" s="16"/>
      <c r="O6" s="16"/>
      <c r="P6" s="18"/>
      <c r="Q6" s="18"/>
      <c r="R6" s="18"/>
    </row>
    <row r="7" ht="14.4" customHeight="1">
      <c r="A7" s="11"/>
      <c r="B7" s="12"/>
      <c r="C7" s="12" t="str">
        <f t="shared" ref="C7:H7" si="1">IF(C6&gt;110, "Высокий","Низкий")</f>
        <v>Низкий</v>
      </c>
      <c r="D7" s="12" t="str">
        <f t="shared" si="1"/>
        <v>Низкий</v>
      </c>
      <c r="E7" s="12" t="str">
        <f t="shared" si="1"/>
        <v>Низкий</v>
      </c>
      <c r="F7" s="12" t="str">
        <f t="shared" si="1"/>
        <v>Высокий</v>
      </c>
      <c r="G7" s="12" t="str">
        <f t="shared" si="1"/>
        <v>Низкий</v>
      </c>
      <c r="H7" s="21" t="str">
        <f t="shared" si="1"/>
        <v>Низкий</v>
      </c>
      <c r="I7" s="4"/>
      <c r="J7" s="4"/>
      <c r="K7" s="4"/>
      <c r="M7" s="16"/>
      <c r="N7" s="16"/>
      <c r="O7" s="16"/>
      <c r="P7" s="18"/>
      <c r="Q7" s="18"/>
      <c r="R7" s="18"/>
    </row>
    <row r="8" ht="14.4" customHeight="1">
      <c r="A8" s="11" t="s">
        <v>16</v>
      </c>
      <c r="B8" s="12" t="s">
        <v>17</v>
      </c>
      <c r="C8" s="19">
        <f>C4/C5*100</f>
        <v>96</v>
      </c>
      <c r="D8" s="19">
        <f t="shared" ref="D8:H8" si="2">D4/D5*100</f>
        <v>70.637119113573405</v>
      </c>
      <c r="E8" s="19">
        <f t="shared" si="2"/>
        <v>104.5994065281899</v>
      </c>
      <c r="F8" s="19">
        <f t="shared" si="2"/>
        <v>119.40298507462686</v>
      </c>
      <c r="G8" s="19">
        <f t="shared" si="2"/>
        <v>89.788732394366207</v>
      </c>
      <c r="H8" s="20">
        <f t="shared" si="2"/>
        <v>86.034912718204495</v>
      </c>
      <c r="I8" s="4"/>
      <c r="J8" s="4"/>
      <c r="K8" s="4"/>
      <c r="M8" s="22"/>
      <c r="N8" s="16"/>
      <c r="O8" s="16"/>
      <c r="P8" s="22"/>
      <c r="Q8" s="16"/>
      <c r="R8" s="16"/>
    </row>
    <row r="9" ht="14.4" customHeight="1">
      <c r="A9" s="11"/>
      <c r="B9" s="12"/>
      <c r="C9" s="12" t="str">
        <f t="shared" ref="C9:H9" si="3">IF(C8&gt;100, "Высокий","Низкий")</f>
        <v>Низкий</v>
      </c>
      <c r="D9" s="12" t="str">
        <f t="shared" si="3"/>
        <v>Низкий</v>
      </c>
      <c r="E9" s="12" t="str">
        <f t="shared" si="3"/>
        <v>Высокий</v>
      </c>
      <c r="F9" s="12" t="str">
        <f t="shared" si="3"/>
        <v>Высокий</v>
      </c>
      <c r="G9" s="12" t="str">
        <f t="shared" si="3"/>
        <v>Низкий</v>
      </c>
      <c r="H9" s="21" t="str">
        <f t="shared" si="3"/>
        <v>Низкий</v>
      </c>
      <c r="I9" s="4"/>
      <c r="J9" s="4"/>
      <c r="K9" s="4"/>
      <c r="M9" s="16"/>
      <c r="N9" s="16"/>
      <c r="O9" s="16"/>
      <c r="P9" s="16"/>
      <c r="Q9" s="16"/>
      <c r="R9" s="16"/>
    </row>
    <row r="10" ht="29.399999999999999" customHeight="1">
      <c r="A10" s="23" t="s">
        <v>18</v>
      </c>
      <c r="B10" s="24" t="s">
        <v>19</v>
      </c>
      <c r="C10" s="25" t="str">
        <f t="shared" ref="C10:G10" si="4">IF(AND(C7="Низкий",C9="Низкий"),"Дохлая собака",IF(AND(C7="Низкий",C9="Высокий"),"Дойная корова",IF(AND(C7="Высокий",C9="Высокий"),"Звезда",IF(AND(C7="Высокий",C9="Низкий"),"Дикая кошка"))))</f>
        <v xml:space="preserve">Дохлая собака</v>
      </c>
      <c r="D10" s="25" t="str">
        <f t="shared" si="4"/>
        <v xml:space="preserve">Дохлая собака</v>
      </c>
      <c r="E10" s="25" t="str">
        <f t="shared" si="4"/>
        <v xml:space="preserve">Дойная корова</v>
      </c>
      <c r="F10" s="25" t="str">
        <f t="shared" si="4"/>
        <v>Звезда</v>
      </c>
      <c r="G10" s="25" t="str">
        <f t="shared" si="4"/>
        <v xml:space="preserve">Дохлая собака</v>
      </c>
      <c r="H10" s="26" t="str">
        <f>IF(AND(H7="Низкий",H9="Низкий"),"Дохлая собака",IF(AND(H7="Низкий",H9="Высокий"),"Дойная корова",IF(AND(H7="Высокий",H9="Высокий"),"Звезда",IF(AND(H7="Высокий",H9="Низкий"),"Дикая кошка"))))</f>
        <v xml:space="preserve">Дохлая собака</v>
      </c>
      <c r="I10" s="4"/>
      <c r="J10" s="4"/>
      <c r="K10" s="4"/>
      <c r="M10" s="16"/>
      <c r="N10" s="16"/>
      <c r="O10" s="16"/>
      <c r="P10" s="16"/>
      <c r="Q10" s="16"/>
      <c r="R10" s="16"/>
    </row>
    <row r="11" ht="114">
      <c r="A11" s="18"/>
      <c r="M11" s="27" t="s">
        <v>20</v>
      </c>
      <c r="N11" s="3" t="s">
        <v>21</v>
      </c>
      <c r="O11" s="16"/>
      <c r="P11" s="16"/>
      <c r="Q11" s="16"/>
      <c r="R11" s="16"/>
    </row>
    <row r="12" ht="128.40000000000001" customHeight="1">
      <c r="A12" s="18"/>
      <c r="M12" s="3" t="s">
        <v>22</v>
      </c>
      <c r="N12" s="3" t="s">
        <v>23</v>
      </c>
      <c r="O12" s="16"/>
      <c r="P12" s="16"/>
      <c r="Q12" s="16"/>
      <c r="R12" s="16"/>
    </row>
    <row r="13" ht="14.4">
      <c r="A13" s="18"/>
      <c r="M13" s="1"/>
      <c r="N13" s="1"/>
      <c r="O13" s="16"/>
      <c r="P13" s="16"/>
      <c r="Q13" s="16"/>
      <c r="R13" s="16"/>
    </row>
    <row r="14">
      <c r="A14" s="18"/>
    </row>
    <row r="15" ht="14.4" customHeight="1"/>
    <row r="16">
      <c r="A16" s="18"/>
    </row>
    <row r="17" ht="16.199999999999999" customHeight="1">
      <c r="A17" s="18"/>
    </row>
    <row r="18" ht="16.199999999999999" customHeight="1">
      <c r="A18" s="18"/>
      <c r="M18" s="1"/>
      <c r="N18" s="1"/>
    </row>
    <row r="19" ht="16.199999999999999" customHeight="1">
      <c r="A19" s="18"/>
      <c r="M19" s="1"/>
      <c r="N19" s="1"/>
    </row>
    <row r="20" ht="16.199999999999999" customHeight="1">
      <c r="A20" s="18"/>
    </row>
    <row r="21" ht="16.199999999999999" customHeight="1"/>
    <row r="22" ht="16.199999999999999" customHeight="1"/>
  </sheetData>
  <mergeCells count="7">
    <mergeCell ref="A1:A2"/>
    <mergeCell ref="B1:B2"/>
    <mergeCell ref="C1:H1"/>
    <mergeCell ref="A6:A7"/>
    <mergeCell ref="B6:B7"/>
    <mergeCell ref="A8:A9"/>
    <mergeCell ref="B8:B9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" zoomScale="100" workbookViewId="0">
      <selection activeCell="H32" activeCellId="0" sqref="H32:M37"/>
    </sheetView>
  </sheetViews>
  <sheetFormatPr defaultRowHeight="14.25"/>
  <cols>
    <col bestFit="1" customWidth="1" min="1" max="1" style="4" width="59.80078125"/>
    <col bestFit="1" customWidth="1" min="2" max="2" style="4" width="14.54296875"/>
    <col customWidth="1" min="3" max="3" style="4" width="23.421875"/>
    <col bestFit="1" customWidth="1" min="4" max="4" style="4" width="11.44140625"/>
    <col bestFit="1" min="5" max="5" style="4" width="14.54296875"/>
    <col min="6" max="8" style="4" width="9.140625"/>
    <col bestFit="1" customWidth="1" min="9" max="9" style="4" width="18.3125"/>
    <col min="10" max="10" style="4" width="9.140625"/>
    <col bestFit="1" min="11" max="11" style="4" width="9.51171875"/>
    <col customWidth="1" min="12" max="12" style="4" width="5.00390625"/>
    <col min="13" max="16384" style="4" width="9.140625"/>
  </cols>
  <sheetData>
    <row r="1" ht="28.800000000000001" customHeight="1">
      <c r="A1" s="3" t="s">
        <v>0</v>
      </c>
      <c r="B1" s="3" t="s">
        <v>24</v>
      </c>
      <c r="C1" s="3" t="s">
        <v>25</v>
      </c>
      <c r="D1" s="3"/>
      <c r="E1" s="3"/>
      <c r="F1" s="3" t="s">
        <v>26</v>
      </c>
      <c r="G1" s="3"/>
      <c r="H1" s="3"/>
      <c r="I1" s="3" t="s">
        <v>27</v>
      </c>
      <c r="J1" s="28"/>
      <c r="K1" s="29" t="s">
        <v>3</v>
      </c>
      <c r="L1" s="13">
        <v>4</v>
      </c>
    </row>
    <row r="2">
      <c r="A2" s="3"/>
      <c r="B2" s="3"/>
      <c r="C2" s="3" t="s">
        <v>28</v>
      </c>
      <c r="D2" s="3" t="s">
        <v>29</v>
      </c>
      <c r="E2" s="3" t="s">
        <v>30</v>
      </c>
      <c r="F2" s="3" t="s">
        <v>28</v>
      </c>
      <c r="G2" s="3" t="s">
        <v>29</v>
      </c>
      <c r="H2" s="3" t="s">
        <v>30</v>
      </c>
      <c r="I2" s="3"/>
      <c r="J2" s="28"/>
      <c r="K2" s="28"/>
    </row>
    <row r="3" ht="14.4" customHeight="1">
      <c r="A3" s="7" t="s">
        <v>31</v>
      </c>
      <c r="B3" s="30" t="s">
        <v>32</v>
      </c>
      <c r="C3" s="31">
        <f>68-1*L1</f>
        <v>64</v>
      </c>
      <c r="D3" s="31">
        <f>90+1.5*L1</f>
        <v>96</v>
      </c>
      <c r="E3" s="31">
        <f>87+0.5*L1</f>
        <v>89</v>
      </c>
      <c r="F3" s="31">
        <v>89</v>
      </c>
      <c r="G3" s="31">
        <v>88</v>
      </c>
      <c r="H3" s="31">
        <v>78</v>
      </c>
      <c r="I3" s="32">
        <v>0.17999999999999999</v>
      </c>
      <c r="J3" s="28"/>
      <c r="K3" s="28"/>
    </row>
    <row r="4" ht="14.4" customHeight="1">
      <c r="A4" s="11" t="s">
        <v>33</v>
      </c>
      <c r="B4" s="29" t="s">
        <v>34</v>
      </c>
      <c r="C4" s="33">
        <f>48-1*L1</f>
        <v>44</v>
      </c>
      <c r="D4" s="33">
        <f>49+1.5*L1</f>
        <v>55</v>
      </c>
      <c r="E4" s="33">
        <f>50+0.5*L1</f>
        <v>52</v>
      </c>
      <c r="F4" s="33">
        <v>51</v>
      </c>
      <c r="G4" s="33">
        <v>52</v>
      </c>
      <c r="H4" s="33">
        <v>53</v>
      </c>
      <c r="I4" s="34">
        <v>0.11</v>
      </c>
      <c r="J4" s="28"/>
      <c r="K4" s="28"/>
    </row>
    <row r="5" ht="14.4" customHeight="1">
      <c r="A5" s="11" t="s">
        <v>35</v>
      </c>
      <c r="B5" s="29" t="s">
        <v>36</v>
      </c>
      <c r="C5" s="33">
        <f>30+0.5*L1</f>
        <v>32</v>
      </c>
      <c r="D5" s="33">
        <f>29-0.2*L1</f>
        <v>28.199999999999999</v>
      </c>
      <c r="E5" s="33">
        <f>28+0.3*L1</f>
        <v>29.199999999999999</v>
      </c>
      <c r="F5" s="33">
        <v>27</v>
      </c>
      <c r="G5" s="33">
        <v>26</v>
      </c>
      <c r="H5" s="33">
        <v>25</v>
      </c>
      <c r="I5" s="34">
        <v>0.17000000000000001</v>
      </c>
      <c r="J5" s="28"/>
      <c r="K5" s="28"/>
    </row>
    <row r="6" ht="14.4" customHeight="1">
      <c r="A6" s="11" t="s">
        <v>37</v>
      </c>
      <c r="B6" s="29" t="s">
        <v>38</v>
      </c>
      <c r="C6" s="33">
        <f>71+0.2*L1</f>
        <v>71.799999999999997</v>
      </c>
      <c r="D6" s="33">
        <f>78-0.1*L1</f>
        <v>77.599999999999994</v>
      </c>
      <c r="E6" s="33">
        <f>69+0.3*L1</f>
        <v>70.200000000000003</v>
      </c>
      <c r="F6" s="33">
        <v>88</v>
      </c>
      <c r="G6" s="33">
        <v>87</v>
      </c>
      <c r="H6" s="33">
        <v>74</v>
      </c>
      <c r="I6" s="34">
        <v>0.16</v>
      </c>
      <c r="J6" s="28"/>
      <c r="K6" s="28"/>
    </row>
    <row r="7" ht="14.4" customHeight="1">
      <c r="A7" s="11" t="s">
        <v>39</v>
      </c>
      <c r="B7" s="29" t="s">
        <v>40</v>
      </c>
      <c r="C7" s="33">
        <f>185-0.5*L1</f>
        <v>183</v>
      </c>
      <c r="D7" s="33">
        <f>163+0.5*L1</f>
        <v>165</v>
      </c>
      <c r="E7" s="33">
        <f>168+1*L1</f>
        <v>172</v>
      </c>
      <c r="F7" s="33">
        <v>171</v>
      </c>
      <c r="G7" s="33">
        <v>173</v>
      </c>
      <c r="H7" s="33">
        <v>172</v>
      </c>
      <c r="I7" s="34">
        <v>0.10000000000000001</v>
      </c>
      <c r="J7" s="28"/>
      <c r="K7" s="28"/>
    </row>
    <row r="8" ht="14.4" customHeight="1">
      <c r="A8" s="11" t="s">
        <v>41</v>
      </c>
      <c r="B8" s="29" t="s">
        <v>42</v>
      </c>
      <c r="C8" s="33">
        <v>6</v>
      </c>
      <c r="D8" s="33">
        <v>4</v>
      </c>
      <c r="E8" s="33">
        <v>7</v>
      </c>
      <c r="F8" s="33">
        <v>3</v>
      </c>
      <c r="G8" s="33">
        <v>4</v>
      </c>
      <c r="H8" s="33">
        <v>6</v>
      </c>
      <c r="I8" s="34">
        <v>2.e-002</v>
      </c>
      <c r="J8" s="28"/>
      <c r="K8" s="28"/>
    </row>
    <row r="9" ht="14.4" customHeight="1">
      <c r="A9" s="11" t="s">
        <v>43</v>
      </c>
      <c r="B9" s="29" t="s">
        <v>44</v>
      </c>
      <c r="C9" s="33">
        <v>9</v>
      </c>
      <c r="D9" s="33">
        <v>10</v>
      </c>
      <c r="E9" s="33">
        <v>7</v>
      </c>
      <c r="F9" s="33">
        <v>7</v>
      </c>
      <c r="G9" s="33">
        <v>6</v>
      </c>
      <c r="H9" s="33">
        <v>5</v>
      </c>
      <c r="I9" s="34">
        <v>8.0000000000000002e-002</v>
      </c>
      <c r="J9" s="28"/>
      <c r="K9" s="28"/>
    </row>
    <row r="10" ht="14.4" customHeight="1">
      <c r="A10" s="11" t="s">
        <v>45</v>
      </c>
      <c r="B10" s="29" t="s">
        <v>46</v>
      </c>
      <c r="C10" s="33">
        <f>1.67</f>
        <v>1.6699999999999999</v>
      </c>
      <c r="D10" s="33">
        <f>1.56+0.2*L1</f>
        <v>2.3600000000000003</v>
      </c>
      <c r="E10" s="33">
        <f>1.58+0.4*L1</f>
        <v>3.1800000000000002</v>
      </c>
      <c r="F10" s="33">
        <v>1.5900000000000001</v>
      </c>
      <c r="G10" s="33">
        <v>1.6100000000000001</v>
      </c>
      <c r="H10" s="33">
        <v>1.73</v>
      </c>
      <c r="I10" s="34">
        <v>5.0000000000000003e-002</v>
      </c>
      <c r="J10" s="28"/>
      <c r="K10" s="28"/>
    </row>
    <row r="11" ht="14.4" customHeight="1">
      <c r="A11" s="11" t="s">
        <v>47</v>
      </c>
      <c r="B11" s="29" t="s">
        <v>48</v>
      </c>
      <c r="C11" s="33">
        <f>1.41+0.1*L1</f>
        <v>1.8100000000000001</v>
      </c>
      <c r="D11" s="33">
        <f>1.35</f>
        <v>1.3500000000000001</v>
      </c>
      <c r="E11" s="33">
        <f>1.33+0.1*L1</f>
        <v>1.73</v>
      </c>
      <c r="F11" s="33">
        <v>1.3100000000000001</v>
      </c>
      <c r="G11" s="33">
        <v>1.29</v>
      </c>
      <c r="H11" s="33">
        <v>1.27</v>
      </c>
      <c r="I11" s="34">
        <v>0.13</v>
      </c>
      <c r="J11" s="28"/>
      <c r="K11" s="28"/>
    </row>
    <row r="12" ht="14.4" customHeight="1">
      <c r="A12" s="11" t="s">
        <v>49</v>
      </c>
      <c r="B12" s="29" t="s">
        <v>50</v>
      </c>
      <c r="C12" s="33">
        <f>11.4+0.5*L1</f>
        <v>13.4</v>
      </c>
      <c r="D12" s="33">
        <f>11.4+0.3*L1</f>
        <v>12.6</v>
      </c>
      <c r="E12" s="33">
        <f>11.5-0.1*L1</f>
        <v>11.1</v>
      </c>
      <c r="F12" s="33">
        <v>11.6</v>
      </c>
      <c r="G12" s="33">
        <v>11</v>
      </c>
      <c r="H12" s="33">
        <v>12.1</v>
      </c>
      <c r="I12" s="34" t="s">
        <v>51</v>
      </c>
      <c r="J12" s="28"/>
      <c r="K12" s="28"/>
    </row>
    <row r="13" ht="14.4" customHeight="1">
      <c r="A13" s="11" t="s">
        <v>52</v>
      </c>
      <c r="B13" s="29" t="s">
        <v>53</v>
      </c>
      <c r="C13" s="33">
        <f>27.1+0.1*L1</f>
        <v>27.5</v>
      </c>
      <c r="D13" s="33">
        <f>27.2-0.1*L1</f>
        <v>26.800000000000001</v>
      </c>
      <c r="E13" s="33">
        <f>27.3+0.3*L1</f>
        <v>28.5</v>
      </c>
      <c r="F13" s="33">
        <v>28.800000000000001</v>
      </c>
      <c r="G13" s="33">
        <v>29</v>
      </c>
      <c r="H13" s="33">
        <v>31</v>
      </c>
      <c r="I13" s="34" t="s">
        <v>51</v>
      </c>
      <c r="J13" s="28"/>
      <c r="K13" s="28"/>
    </row>
    <row r="14" ht="14.4" customHeight="1">
      <c r="A14" s="11" t="s">
        <v>54</v>
      </c>
      <c r="B14" s="29" t="s">
        <v>55</v>
      </c>
      <c r="C14" s="33">
        <f>1.1+0.5*L1</f>
        <v>3.1000000000000001</v>
      </c>
      <c r="D14" s="33">
        <f>1.25+0.2*L1</f>
        <v>2.0499999999999998</v>
      </c>
      <c r="E14" s="33">
        <f>1.27+0.1*L1</f>
        <v>1.6699999999999999</v>
      </c>
      <c r="F14" s="33">
        <v>1.29</v>
      </c>
      <c r="G14" s="33">
        <v>1.3100000000000001</v>
      </c>
      <c r="H14" s="33">
        <v>1.5</v>
      </c>
      <c r="I14" s="34" t="s">
        <v>51</v>
      </c>
      <c r="J14" s="28"/>
      <c r="K14" s="28"/>
    </row>
    <row r="15" ht="14.4" customHeight="1">
      <c r="A15" s="23" t="s">
        <v>56</v>
      </c>
      <c r="B15" s="35" t="s">
        <v>57</v>
      </c>
      <c r="C15" s="36">
        <v>0.23000000000000001</v>
      </c>
      <c r="D15" s="36">
        <v>0.41999999999999998</v>
      </c>
      <c r="E15" s="36">
        <v>0.34999999999999998</v>
      </c>
      <c r="F15" s="36" t="s">
        <v>51</v>
      </c>
      <c r="G15" s="36" t="s">
        <v>51</v>
      </c>
      <c r="H15" s="36" t="s">
        <v>51</v>
      </c>
      <c r="I15" s="26" t="s">
        <v>51</v>
      </c>
      <c r="J15" s="28"/>
      <c r="K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</row>
    <row r="18" ht="14.4" customHeight="1">
      <c r="A18" s="3" t="s">
        <v>0</v>
      </c>
      <c r="B18" s="3" t="s">
        <v>58</v>
      </c>
      <c r="C18" s="3" t="s">
        <v>59</v>
      </c>
      <c r="D18" s="3" t="s">
        <v>60</v>
      </c>
      <c r="E18" s="3"/>
      <c r="F18" s="3"/>
      <c r="H18" s="37" t="s">
        <v>61</v>
      </c>
      <c r="I18" s="38"/>
      <c r="J18" s="38"/>
      <c r="K18" s="38"/>
      <c r="L18" s="38"/>
      <c r="M18" s="39"/>
    </row>
    <row r="19" ht="14.4" customHeight="1">
      <c r="A19" s="3"/>
      <c r="B19" s="3"/>
      <c r="C19" s="3"/>
      <c r="D19" s="3" t="s">
        <v>28</v>
      </c>
      <c r="E19" s="3" t="s">
        <v>29</v>
      </c>
      <c r="F19" s="3" t="s">
        <v>30</v>
      </c>
      <c r="H19" s="40"/>
      <c r="I19" s="4"/>
      <c r="J19" s="4"/>
      <c r="K19" s="4"/>
      <c r="L19" s="4"/>
      <c r="M19" s="41"/>
    </row>
    <row r="20" ht="14.4" customHeight="1">
      <c r="A20" s="3" t="s">
        <v>62</v>
      </c>
      <c r="B20" s="3"/>
      <c r="C20" s="3"/>
      <c r="D20" s="3"/>
      <c r="E20" s="3"/>
      <c r="F20" s="3"/>
      <c r="G20" s="28"/>
      <c r="H20" s="40"/>
      <c r="I20" s="4"/>
      <c r="J20" s="4"/>
      <c r="K20" s="4"/>
      <c r="L20" s="4"/>
      <c r="M20" s="41"/>
    </row>
    <row r="21" ht="14.4" customHeight="1">
      <c r="A21" s="7" t="s">
        <v>31</v>
      </c>
      <c r="B21" s="30" t="s">
        <v>63</v>
      </c>
      <c r="C21" s="8" t="s">
        <v>64</v>
      </c>
      <c r="D21" s="42">
        <f t="shared" ref="D21:D22" si="5">C3/F3*$I3</f>
        <v>0.12943820224719099</v>
      </c>
      <c r="E21" s="43">
        <f t="shared" ref="E21:F27" si="6">D3/G3*$I3</f>
        <v>0.19636363636363635</v>
      </c>
      <c r="F21" s="44">
        <f>E3/H3*$I3</f>
        <v>0.20538461538461536</v>
      </c>
      <c r="G21" s="28"/>
      <c r="H21" s="40"/>
      <c r="I21" s="4"/>
      <c r="J21" s="4"/>
      <c r="K21" s="4"/>
      <c r="L21" s="4"/>
      <c r="M21" s="41"/>
    </row>
    <row r="22" ht="14.4" customHeight="1">
      <c r="A22" s="11" t="s">
        <v>33</v>
      </c>
      <c r="B22" s="29" t="s">
        <v>65</v>
      </c>
      <c r="C22" s="12" t="s">
        <v>66</v>
      </c>
      <c r="D22" s="45">
        <f t="shared" si="5"/>
        <v>9.4901960784313732e-002</v>
      </c>
      <c r="E22" s="46">
        <f t="shared" si="6"/>
        <v>0.11634615384615385</v>
      </c>
      <c r="F22" s="47">
        <f t="shared" si="6"/>
        <v>0.1079245283018868</v>
      </c>
      <c r="G22" s="28"/>
      <c r="H22" s="40"/>
      <c r="I22" s="4"/>
      <c r="J22" s="4"/>
      <c r="K22" s="4"/>
      <c r="L22" s="4"/>
      <c r="M22" s="41"/>
    </row>
    <row r="23" ht="14.4" customHeight="1">
      <c r="A23" s="11" t="s">
        <v>35</v>
      </c>
      <c r="B23" s="29" t="s">
        <v>67</v>
      </c>
      <c r="C23" s="12" t="s">
        <v>68</v>
      </c>
      <c r="D23" s="45">
        <f>F5/C5*$I5</f>
        <v>0.14343750000000002</v>
      </c>
      <c r="E23" s="46">
        <f>G5/D5*$I5</f>
        <v>0.15673758865248227</v>
      </c>
      <c r="F23" s="47">
        <f>H5/E5*$I5</f>
        <v>0.14554794520547945</v>
      </c>
      <c r="G23" s="28"/>
      <c r="H23" s="40"/>
      <c r="I23" s="4"/>
      <c r="J23" s="4"/>
      <c r="K23" s="4"/>
      <c r="L23" s="4"/>
      <c r="M23" s="41"/>
    </row>
    <row r="24" ht="14.4" customHeight="1">
      <c r="A24" s="11" t="s">
        <v>37</v>
      </c>
      <c r="B24" s="29" t="s">
        <v>69</v>
      </c>
      <c r="C24" s="12" t="s">
        <v>70</v>
      </c>
      <c r="D24" s="45">
        <f t="shared" ref="D24:D27" si="7">C6/F6*$I6</f>
        <v>0.13054545454545455</v>
      </c>
      <c r="E24" s="46">
        <f t="shared" si="6"/>
        <v>0.14271264367816092</v>
      </c>
      <c r="F24" s="47">
        <f t="shared" si="6"/>
        <v>0.15178378378378379</v>
      </c>
      <c r="G24" s="28"/>
      <c r="H24" s="40"/>
      <c r="I24" s="4"/>
      <c r="J24" s="4"/>
      <c r="K24" s="4"/>
      <c r="L24" s="4"/>
      <c r="M24" s="41"/>
    </row>
    <row r="25" ht="14.4" customHeight="1">
      <c r="A25" s="11" t="s">
        <v>39</v>
      </c>
      <c r="B25" s="29" t="s">
        <v>71</v>
      </c>
      <c r="C25" s="12" t="s">
        <v>72</v>
      </c>
      <c r="D25" s="45">
        <f t="shared" si="7"/>
        <v>0.10701754385964912</v>
      </c>
      <c r="E25" s="46">
        <f t="shared" si="6"/>
        <v>9.5375722543352609e-002</v>
      </c>
      <c r="F25" s="47">
        <f t="shared" si="6"/>
        <v>0.10000000000000001</v>
      </c>
      <c r="G25" s="28"/>
      <c r="H25" s="40"/>
      <c r="I25" s="4"/>
      <c r="J25" s="4"/>
      <c r="K25" s="4"/>
      <c r="L25" s="4"/>
      <c r="M25" s="41"/>
    </row>
    <row r="26" ht="14.4" customHeight="1">
      <c r="A26" s="11" t="s">
        <v>41</v>
      </c>
      <c r="B26" s="29" t="s">
        <v>73</v>
      </c>
      <c r="C26" s="12" t="s">
        <v>74</v>
      </c>
      <c r="D26" s="45">
        <f t="shared" si="7"/>
        <v>4.0000000000000001e-002</v>
      </c>
      <c r="E26" s="46">
        <f t="shared" si="6"/>
        <v>2.e-002</v>
      </c>
      <c r="F26" s="47">
        <f t="shared" si="6"/>
        <v>2.3333333333333334e-002</v>
      </c>
      <c r="H26" s="40"/>
      <c r="I26" s="4"/>
      <c r="J26" s="4"/>
      <c r="K26" s="4"/>
      <c r="L26" s="4"/>
      <c r="M26" s="41"/>
    </row>
    <row r="27" ht="14.4" customHeight="1">
      <c r="A27" s="11" t="s">
        <v>43</v>
      </c>
      <c r="B27" s="29" t="s">
        <v>75</v>
      </c>
      <c r="C27" s="12" t="s">
        <v>76</v>
      </c>
      <c r="D27" s="45">
        <f t="shared" si="7"/>
        <v>0.10285714285714287</v>
      </c>
      <c r="E27" s="46">
        <f t="shared" si="6"/>
        <v>0.13333333333333333</v>
      </c>
      <c r="F27" s="47">
        <f t="shared" si="6"/>
        <v>0.11199999999999999</v>
      </c>
      <c r="H27" s="40"/>
      <c r="I27" s="4"/>
      <c r="J27" s="4"/>
      <c r="K27" s="4"/>
      <c r="L27" s="4"/>
      <c r="M27" s="41"/>
    </row>
    <row r="28" ht="14.4" customHeight="1">
      <c r="A28" s="11" t="s">
        <v>45</v>
      </c>
      <c r="B28" s="29" t="s">
        <v>77</v>
      </c>
      <c r="C28" s="12" t="s">
        <v>78</v>
      </c>
      <c r="D28" s="45">
        <f t="shared" ref="D28:F29" si="8">F10/C10*$I10</f>
        <v>4.7604790419161686e-002</v>
      </c>
      <c r="E28" s="46">
        <f t="shared" si="8"/>
        <v>3.411016949152542e-002</v>
      </c>
      <c r="F28" s="47">
        <f t="shared" si="8"/>
        <v>2.7201257861635221e-002</v>
      </c>
      <c r="H28" s="40"/>
      <c r="I28" s="4"/>
      <c r="J28" s="4"/>
      <c r="K28" s="4"/>
      <c r="L28" s="4"/>
      <c r="M28" s="41"/>
    </row>
    <row r="29" ht="14.4" customHeight="1">
      <c r="A29" s="11" t="s">
        <v>47</v>
      </c>
      <c r="B29" s="29" t="s">
        <v>79</v>
      </c>
      <c r="C29" s="12" t="s">
        <v>80</v>
      </c>
      <c r="D29" s="45">
        <f t="shared" si="8"/>
        <v>9.4088397790055261e-002</v>
      </c>
      <c r="E29" s="46">
        <f t="shared" si="8"/>
        <v>0.12422222222222222</v>
      </c>
      <c r="F29" s="47">
        <f t="shared" si="8"/>
        <v>9.5433526011560701e-002</v>
      </c>
      <c r="H29" s="40"/>
      <c r="I29" s="4"/>
      <c r="J29" s="4"/>
      <c r="K29" s="4"/>
      <c r="L29" s="4"/>
      <c r="M29" s="41"/>
    </row>
    <row r="30" ht="14.4" customHeight="1">
      <c r="A30" s="11" t="s">
        <v>81</v>
      </c>
      <c r="B30" s="29" t="s">
        <v>82</v>
      </c>
      <c r="C30" s="12" t="s">
        <v>83</v>
      </c>
      <c r="D30" s="45">
        <f>SUM(D21:D29)</f>
        <v>0.88989099250296821</v>
      </c>
      <c r="E30" s="46">
        <f>SUM(E21:E29)</f>
        <v>1.0192014701308669</v>
      </c>
      <c r="F30" s="47">
        <f>SUM(F21:F29)</f>
        <v>0.9686089898822946</v>
      </c>
      <c r="H30" s="40"/>
      <c r="I30" s="4"/>
      <c r="J30" s="4"/>
      <c r="K30" s="4"/>
      <c r="L30" s="4"/>
      <c r="M30" s="41"/>
    </row>
    <row r="31" ht="14.4" customHeight="1">
      <c r="A31" s="11" t="s">
        <v>84</v>
      </c>
      <c r="B31" s="29" t="s">
        <v>85</v>
      </c>
      <c r="C31" s="29" t="s">
        <v>86</v>
      </c>
      <c r="D31" s="45">
        <f>(C12+C13)/(F12+F13)</f>
        <v>1.0123762376237624</v>
      </c>
      <c r="E31" s="46">
        <f>(D12+D13)/(G12+G13)</f>
        <v>0.98499999999999999</v>
      </c>
      <c r="F31" s="47">
        <f>(E12+E13)/(H12+H13)</f>
        <v>0.91879350348027844</v>
      </c>
      <c r="H31" s="40"/>
      <c r="I31" s="4"/>
      <c r="J31" s="4"/>
      <c r="K31" s="4"/>
      <c r="L31" s="4"/>
      <c r="M31" s="41"/>
    </row>
    <row r="32" ht="14.4" customHeight="1">
      <c r="A32" s="23" t="s">
        <v>87</v>
      </c>
      <c r="B32" s="25" t="s">
        <v>88</v>
      </c>
      <c r="C32" s="24" t="s">
        <v>89</v>
      </c>
      <c r="D32" s="48">
        <f>D30/D31</f>
        <v>0.87901212951393437</v>
      </c>
      <c r="E32" s="49">
        <f>E30/E31</f>
        <v>1.0347223047013878</v>
      </c>
      <c r="F32" s="50">
        <f>F30/F31</f>
        <v>1.0542183703011843</v>
      </c>
      <c r="H32" s="51"/>
      <c r="I32" s="52"/>
      <c r="J32" s="52"/>
      <c r="K32" s="52"/>
      <c r="L32" s="52"/>
      <c r="M32" s="53"/>
      <c r="N32" s="54"/>
    </row>
    <row r="33" ht="14.4" customHeight="1">
      <c r="H33" s="55"/>
      <c r="I33" s="55"/>
      <c r="J33" s="55"/>
      <c r="K33" s="55"/>
      <c r="L33" s="55"/>
      <c r="M33" s="55"/>
      <c r="N33" s="54"/>
    </row>
    <row r="34" ht="14.4" customHeight="1">
      <c r="A34" s="56" t="s">
        <v>90</v>
      </c>
      <c r="B34" s="57"/>
      <c r="C34" s="57"/>
      <c r="D34" s="58">
        <f>C15*(C14*D32/F14)+D15*(D14*E32/G14)+E15*(E14*F32/H14)</f>
        <v>1.5767085555830298</v>
      </c>
      <c r="H34" s="55"/>
      <c r="I34" s="55"/>
      <c r="J34" s="55"/>
      <c r="K34" s="55"/>
      <c r="L34" s="55"/>
      <c r="M34" s="55"/>
      <c r="N34" s="54"/>
    </row>
    <row r="35" ht="14.4" customHeight="1">
      <c r="H35" s="55"/>
      <c r="I35" s="55"/>
      <c r="J35" s="55"/>
      <c r="K35" s="55"/>
      <c r="L35" s="55"/>
      <c r="M35" s="55"/>
      <c r="N35" s="54"/>
    </row>
    <row r="36" ht="14.4" customHeight="1">
      <c r="H36" s="55"/>
      <c r="I36" s="55"/>
      <c r="J36" s="55"/>
      <c r="K36" s="55"/>
      <c r="L36" s="55"/>
      <c r="M36" s="55"/>
    </row>
    <row r="37" ht="14.4" customHeight="1">
      <c r="H37" s="55"/>
      <c r="I37" s="55"/>
      <c r="J37" s="55"/>
      <c r="K37" s="55"/>
      <c r="L37" s="55"/>
      <c r="M37" s="55"/>
    </row>
  </sheetData>
  <mergeCells count="12">
    <mergeCell ref="A1:A2"/>
    <mergeCell ref="B1:B2"/>
    <mergeCell ref="C1:E1"/>
    <mergeCell ref="F1:H1"/>
    <mergeCell ref="I1:I2"/>
    <mergeCell ref="A18:A19"/>
    <mergeCell ref="B18:B19"/>
    <mergeCell ref="C18:C19"/>
    <mergeCell ref="D18:F18"/>
    <mergeCell ref="H18:M32"/>
    <mergeCell ref="A20:F20"/>
    <mergeCell ref="A34:C34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" zoomScale="100" workbookViewId="0">
      <selection activeCell="N47" activeCellId="0" sqref="N47"/>
    </sheetView>
  </sheetViews>
  <sheetFormatPr defaultRowHeight="14.25"/>
  <cols>
    <col customWidth="1" min="1" max="1" style="4" width="16.140625"/>
    <col customWidth="1" min="2" max="5" style="4" width="11.140625"/>
    <col bestFit="1" customWidth="1" min="6" max="6" style="4" width="10.7734375"/>
    <col bestFit="1" customWidth="1" min="7" max="7" style="4" width="19.57421875"/>
    <col bestFit="1" customWidth="1" min="8" max="8" style="4" width="4.48046875"/>
    <col bestFit="1" customWidth="1" min="9" max="9" style="4" width="12.0234375"/>
    <col customWidth="1" min="10" max="10" style="4" width="16.33203125"/>
    <col bestFit="1" customWidth="1" min="11" max="11" style="4" width="17.05078125"/>
    <col bestFit="1" customWidth="1" min="12" max="12" style="4" width="4.48046875"/>
    <col bestFit="1" customWidth="1" min="13" max="13" style="4" width="9.51171875"/>
    <col customWidth="1" min="14" max="14" style="4" width="4.5546875"/>
    <col bestFit="1" customWidth="1" min="15" max="15" style="4" width="1.98046875"/>
    <col bestFit="1" customWidth="1" min="16" max="16" style="4" width="36.2734375"/>
    <col bestFit="1" customWidth="1" min="17" max="17" style="4" width="21.03125"/>
    <col bestFit="1" customWidth="1" min="18" max="18" style="4" width="14.68359375"/>
    <col customWidth="1" min="19" max="20" style="4" width="22.140625"/>
    <col min="21" max="16384" style="4" width="9.140625"/>
  </cols>
  <sheetData>
    <row r="1" ht="28.800000000000001" customHeight="1">
      <c r="A1" s="3" t="s">
        <v>91</v>
      </c>
      <c r="B1" s="3" t="s">
        <v>92</v>
      </c>
      <c r="C1" s="3"/>
      <c r="D1" s="3"/>
      <c r="F1" s="12" t="s">
        <v>3</v>
      </c>
      <c r="G1" s="13">
        <v>4</v>
      </c>
    </row>
    <row r="2">
      <c r="A2" s="3"/>
      <c r="B2" s="3" t="s">
        <v>93</v>
      </c>
      <c r="C2" s="3" t="s">
        <v>94</v>
      </c>
      <c r="D2" s="3" t="s">
        <v>95</v>
      </c>
    </row>
    <row r="3">
      <c r="A3" s="59" t="s">
        <v>96</v>
      </c>
      <c r="B3" s="60">
        <v>15.199999999999999</v>
      </c>
      <c r="C3" s="60">
        <f>B3-0.8*G1</f>
        <v>12</v>
      </c>
      <c r="D3" s="61">
        <f>B3+1.3*G1</f>
        <v>20.399999999999999</v>
      </c>
    </row>
    <row r="4">
      <c r="A4" s="62" t="s">
        <v>97</v>
      </c>
      <c r="B4" s="63">
        <f>8.4*G1</f>
        <v>33.600000000000001</v>
      </c>
      <c r="C4" s="63">
        <f>B4+0.5*G1</f>
        <v>35.600000000000001</v>
      </c>
      <c r="D4" s="64">
        <f>B4+0.7*G1</f>
        <v>36.399999999999999</v>
      </c>
    </row>
    <row r="5">
      <c r="A5" s="62" t="s">
        <v>98</v>
      </c>
      <c r="B5" s="63">
        <v>31.5</v>
      </c>
      <c r="C5" s="63">
        <f>B5+1.9*G1</f>
        <v>39.100000000000001</v>
      </c>
      <c r="D5" s="64">
        <f>B5-0.3*G1</f>
        <v>30.300000000000001</v>
      </c>
    </row>
    <row r="6">
      <c r="A6" s="62" t="s">
        <v>99</v>
      </c>
      <c r="B6" s="63">
        <v>17</v>
      </c>
      <c r="C6" s="63">
        <f>B6+0.2*G1</f>
        <v>17.800000000000001</v>
      </c>
      <c r="D6" s="64">
        <f>B6+0.4*G1</f>
        <v>18.600000000000001</v>
      </c>
    </row>
    <row r="7">
      <c r="A7" s="62" t="s">
        <v>100</v>
      </c>
      <c r="B7" s="63">
        <v>211.5</v>
      </c>
      <c r="C7" s="63">
        <f>B7-0.1*G1</f>
        <v>211.09999999999999</v>
      </c>
      <c r="D7" s="64">
        <f>B7+0.2*G1</f>
        <v>212.30000000000001</v>
      </c>
    </row>
    <row r="8">
      <c r="A8" s="62" t="s">
        <v>101</v>
      </c>
      <c r="B8" s="63">
        <v>26.899999999999999</v>
      </c>
      <c r="C8" s="63">
        <f>B8+0.7*G1</f>
        <v>29.699999999999999</v>
      </c>
      <c r="D8" s="64">
        <f>B8+0.3*G1</f>
        <v>28.099999999999998</v>
      </c>
    </row>
    <row r="9">
      <c r="A9" s="62" t="s">
        <v>102</v>
      </c>
      <c r="B9" s="63">
        <f>2.4*G1</f>
        <v>9.5999999999999996</v>
      </c>
      <c r="C9" s="63">
        <f>B9+0.1*G1</f>
        <v>10</v>
      </c>
      <c r="D9" s="64">
        <f>B9-0.1*G1</f>
        <v>9.1999999999999993</v>
      </c>
    </row>
    <row r="10">
      <c r="A10" s="62" t="s">
        <v>103</v>
      </c>
      <c r="B10" s="63">
        <v>55.600000000000001</v>
      </c>
      <c r="C10" s="63">
        <f>B10-0.3*G1</f>
        <v>54.399999999999999</v>
      </c>
      <c r="D10" s="64">
        <f>B10-0.5*G1</f>
        <v>53.600000000000001</v>
      </c>
    </row>
    <row r="11">
      <c r="A11" s="62" t="s">
        <v>104</v>
      </c>
      <c r="B11" s="63">
        <v>183.09999999999999</v>
      </c>
      <c r="C11" s="63">
        <f>B11+0.3*G1</f>
        <v>184.29999999999998</v>
      </c>
      <c r="D11" s="64">
        <f>B11+0.1*G1</f>
        <v>183.5</v>
      </c>
    </row>
    <row r="12">
      <c r="A12" s="62" t="s">
        <v>105</v>
      </c>
      <c r="B12" s="63">
        <v>320.39999999999998</v>
      </c>
      <c r="C12" s="63">
        <f>B12+0.2*G1</f>
        <v>321.19999999999999</v>
      </c>
      <c r="D12" s="64">
        <f>B12-0.1*G1</f>
        <v>320</v>
      </c>
    </row>
    <row r="13">
      <c r="A13" s="62" t="s">
        <v>106</v>
      </c>
      <c r="B13" s="63">
        <v>15.9</v>
      </c>
      <c r="C13" s="63">
        <f>B13+1.3*G1</f>
        <v>21.100000000000001</v>
      </c>
      <c r="D13" s="64">
        <f>B13+1*G1</f>
        <v>19.899999999999999</v>
      </c>
    </row>
    <row r="14">
      <c r="A14" s="62" t="s">
        <v>107</v>
      </c>
      <c r="B14" s="63">
        <f>11.8*G1</f>
        <v>47.200000000000003</v>
      </c>
      <c r="C14" s="63">
        <f>B14+0.8*G1</f>
        <v>50.400000000000006</v>
      </c>
      <c r="D14" s="64">
        <f>B14-0.2*G1</f>
        <v>46.400000000000006</v>
      </c>
    </row>
    <row r="15">
      <c r="A15" s="62" t="s">
        <v>108</v>
      </c>
      <c r="B15" s="63">
        <v>105.40000000000001</v>
      </c>
      <c r="C15" s="63">
        <f>B15+0.7*G1</f>
        <v>108.2</v>
      </c>
      <c r="D15" s="64">
        <f>B15+0.3*G1</f>
        <v>106.60000000000001</v>
      </c>
    </row>
    <row r="16">
      <c r="A16" s="62" t="s">
        <v>109</v>
      </c>
      <c r="B16" s="63">
        <v>15.4</v>
      </c>
      <c r="C16" s="63">
        <f>B16-0.1*G1</f>
        <v>15</v>
      </c>
      <c r="D16" s="64">
        <f>B16+0.1*G1</f>
        <v>15.800000000000001</v>
      </c>
    </row>
    <row r="17">
      <c r="A17" s="62" t="s">
        <v>110</v>
      </c>
      <c r="B17" s="63">
        <v>61.299999999999997</v>
      </c>
      <c r="C17" s="63">
        <f>B17+0.3*G1</f>
        <v>62.5</v>
      </c>
      <c r="D17" s="64">
        <f>B17+0.2*G1</f>
        <v>62.099999999999994</v>
      </c>
    </row>
    <row r="18">
      <c r="A18" s="62" t="s">
        <v>111</v>
      </c>
      <c r="B18" s="63">
        <v>30.199999999999999</v>
      </c>
      <c r="C18" s="63">
        <f>B18+1.1*G1</f>
        <v>34.600000000000001</v>
      </c>
      <c r="D18" s="64">
        <f>B18+0.8*G1</f>
        <v>33.399999999999999</v>
      </c>
    </row>
    <row r="19">
      <c r="A19" s="62" t="s">
        <v>112</v>
      </c>
      <c r="B19" s="63">
        <v>277.39999999999998</v>
      </c>
      <c r="C19" s="63">
        <f>B19+0.3*G1</f>
        <v>278.59999999999997</v>
      </c>
      <c r="D19" s="64">
        <f>B19+0.5*G1</f>
        <v>279.39999999999998</v>
      </c>
    </row>
    <row r="20">
      <c r="A20" s="62" t="s">
        <v>113</v>
      </c>
      <c r="B20" s="63">
        <v>75.599999999999994</v>
      </c>
      <c r="C20" s="63">
        <f>B20-0.4*G1</f>
        <v>74</v>
      </c>
      <c r="D20" s="64">
        <f>B20-0.3*G1</f>
        <v>74.399999999999991</v>
      </c>
    </row>
    <row r="21">
      <c r="A21" s="62" t="s">
        <v>114</v>
      </c>
      <c r="B21" s="63">
        <v>53.799999999999997</v>
      </c>
      <c r="C21" s="63">
        <f>B21+0.1*G1</f>
        <v>54.199999999999996</v>
      </c>
      <c r="D21" s="64">
        <f>B21+0.5*G1</f>
        <v>55.799999999999997</v>
      </c>
    </row>
    <row r="22">
      <c r="A22" s="65" t="s">
        <v>115</v>
      </c>
      <c r="B22" s="66">
        <f>14.3*G1</f>
        <v>57.200000000000003</v>
      </c>
      <c r="C22" s="66">
        <f>B22-0.2*G1</f>
        <v>56.400000000000006</v>
      </c>
      <c r="D22" s="67">
        <f>B22+0.3*G1</f>
        <v>58.400000000000006</v>
      </c>
    </row>
    <row r="24" ht="14.25">
      <c r="P24" s="4"/>
    </row>
    <row r="25" ht="26.399999999999999" customHeight="1">
      <c r="A25" s="3" t="s">
        <v>91</v>
      </c>
      <c r="B25" s="3" t="s">
        <v>92</v>
      </c>
      <c r="C25" s="3"/>
      <c r="D25" s="3"/>
      <c r="E25" s="3"/>
      <c r="F25" s="3" t="s">
        <v>116</v>
      </c>
      <c r="G25" s="3" t="s">
        <v>117</v>
      </c>
      <c r="H25" s="3" t="s">
        <v>118</v>
      </c>
      <c r="I25" s="3" t="s">
        <v>119</v>
      </c>
      <c r="J25" s="3" t="s">
        <v>120</v>
      </c>
      <c r="K25" s="3" t="s">
        <v>121</v>
      </c>
      <c r="L25" s="3" t="s">
        <v>122</v>
      </c>
      <c r="M25" s="3" t="s">
        <v>123</v>
      </c>
    </row>
    <row r="26" ht="14.4" customHeight="1">
      <c r="A26" s="3"/>
      <c r="B26" s="3" t="s">
        <v>93</v>
      </c>
      <c r="C26" s="3" t="s">
        <v>94</v>
      </c>
      <c r="D26" s="3" t="s">
        <v>95</v>
      </c>
      <c r="E26" s="3" t="s">
        <v>124</v>
      </c>
      <c r="F26" s="3"/>
      <c r="G26" s="3"/>
      <c r="H26" s="3"/>
      <c r="I26" s="3"/>
      <c r="J26" s="3"/>
      <c r="K26" s="3"/>
      <c r="L26" s="3"/>
      <c r="M26" s="3"/>
      <c r="O26" s="2" t="s">
        <v>125</v>
      </c>
      <c r="P26" s="2"/>
      <c r="Q26" s="2"/>
      <c r="R26" s="2"/>
    </row>
    <row r="27">
      <c r="A27" s="59" t="s">
        <v>105</v>
      </c>
      <c r="B27" s="68">
        <v>320.39999999999998</v>
      </c>
      <c r="C27" s="68">
        <f>B27+0.2*G1</f>
        <v>321.19999999999999</v>
      </c>
      <c r="D27" s="68">
        <f>B27-0.1*G1</f>
        <v>320</v>
      </c>
      <c r="E27" s="68">
        <f t="shared" ref="E27:E46" si="9">SUM(B27:D27)</f>
        <v>961.59999999999991</v>
      </c>
      <c r="F27" s="69">
        <f>E27/E47*100</f>
        <v>19.253949502432771</v>
      </c>
      <c r="G27" s="69">
        <f>F27</f>
        <v>19.253949502432771</v>
      </c>
      <c r="H27" s="70" t="str">
        <f t="shared" ref="H27:H46" si="10">IF(AND(G27&gt;0,G27&lt;=80),"A",IF(AND(G27&gt;80,G27&lt;=95),"B","C"))</f>
        <v>A</v>
      </c>
      <c r="I27" s="69">
        <f t="shared" ref="I27:I46" si="11">SUM(B27:D27)/3</f>
        <v>320.5333333333333</v>
      </c>
      <c r="J27" s="69">
        <f t="shared" ref="J27:J46" si="12">SQRT(((B27-I27)^2+(C27-I27)^2+(D27-I27)^2)/3)</f>
        <v>0.49888765156985582</v>
      </c>
      <c r="K27" s="69">
        <f t="shared" ref="K27:K46" si="13">J27/I27*100</f>
        <v>0.15564298613868216</v>
      </c>
      <c r="L27" s="8" t="str">
        <f t="shared" ref="L27:L46" si="14">IF(AND(K27&gt;0,K27&lt;=9),"X",IF(AND(K27&gt;10,K27&lt;=25),"Y","Z"))</f>
        <v>X</v>
      </c>
      <c r="M27" s="71" t="str">
        <f t="shared" ref="M27:M46" si="15">_xlfn.CONCAT(H27,L27)</f>
        <v>AX</v>
      </c>
      <c r="O27" s="2"/>
      <c r="P27" s="2" t="s">
        <v>4</v>
      </c>
      <c r="Q27" s="2" t="s">
        <v>5</v>
      </c>
      <c r="R27" s="2" t="s">
        <v>6</v>
      </c>
    </row>
    <row r="28" ht="14.4" customHeight="1">
      <c r="A28" s="62" t="s">
        <v>112</v>
      </c>
      <c r="B28" s="72">
        <v>277.39999999999998</v>
      </c>
      <c r="C28" s="72">
        <f>B28+0.3*G1</f>
        <v>278.59999999999997</v>
      </c>
      <c r="D28" s="72">
        <f>B28+0.5*G1</f>
        <v>279.39999999999998</v>
      </c>
      <c r="E28" s="72">
        <f t="shared" si="9"/>
        <v>835.39999999999998</v>
      </c>
      <c r="F28" s="73">
        <f>E28/E47*100</f>
        <v>16.727068858498686</v>
      </c>
      <c r="G28" s="73">
        <f t="shared" ref="G28:G46" si="16">G27+F28</f>
        <v>35.981018360931458</v>
      </c>
      <c r="H28" s="70" t="str">
        <f t="shared" si="10"/>
        <v>A</v>
      </c>
      <c r="I28" s="73">
        <f t="shared" si="11"/>
        <v>278.46666666666664</v>
      </c>
      <c r="J28" s="73">
        <f t="shared" si="12"/>
        <v>0.82192186706252957</v>
      </c>
      <c r="K28" s="73">
        <f t="shared" si="13"/>
        <v>0.29515987565089646</v>
      </c>
      <c r="L28" s="12" t="str">
        <f t="shared" si="14"/>
        <v>X</v>
      </c>
      <c r="M28" s="21" t="str">
        <f t="shared" si="15"/>
        <v>AX</v>
      </c>
      <c r="O28" s="2" t="s">
        <v>126</v>
      </c>
      <c r="P28" s="74" t="s">
        <v>127</v>
      </c>
      <c r="Q28" s="8" t="s">
        <v>128</v>
      </c>
      <c r="R28" s="71" t="s">
        <v>129</v>
      </c>
    </row>
    <row r="29">
      <c r="A29" s="62" t="s">
        <v>100</v>
      </c>
      <c r="B29" s="72">
        <v>211.5</v>
      </c>
      <c r="C29" s="72">
        <f>B29-0.1*G1</f>
        <v>211.09999999999999</v>
      </c>
      <c r="D29" s="72">
        <f>B29+0.2*G1</f>
        <v>212.30000000000001</v>
      </c>
      <c r="E29" s="72">
        <f t="shared" si="9"/>
        <v>634.90000000000009</v>
      </c>
      <c r="F29" s="73">
        <f>E29/E47*100</f>
        <v>12.712492241154919</v>
      </c>
      <c r="G29" s="73">
        <f t="shared" si="16"/>
        <v>48.693510602086377</v>
      </c>
      <c r="H29" s="70" t="str">
        <f t="shared" si="10"/>
        <v>A</v>
      </c>
      <c r="I29" s="73">
        <f t="shared" si="11"/>
        <v>211.63333333333335</v>
      </c>
      <c r="J29" s="73">
        <f t="shared" si="12"/>
        <v>0.49888765156986592</v>
      </c>
      <c r="K29" s="73">
        <f t="shared" si="13"/>
        <v>0.23573207665925303</v>
      </c>
      <c r="L29" s="12" t="str">
        <f t="shared" si="14"/>
        <v>X</v>
      </c>
      <c r="M29" s="21" t="str">
        <f t="shared" si="15"/>
        <v>AX</v>
      </c>
      <c r="O29" s="2" t="s">
        <v>130</v>
      </c>
      <c r="P29" s="75" t="s">
        <v>51</v>
      </c>
      <c r="Q29" s="12">
        <v>3</v>
      </c>
      <c r="R29" s="21" t="s">
        <v>131</v>
      </c>
    </row>
    <row r="30">
      <c r="A30" s="62" t="s">
        <v>104</v>
      </c>
      <c r="B30" s="72">
        <v>183.09999999999999</v>
      </c>
      <c r="C30" s="72">
        <f>B30+0.3*G1</f>
        <v>184.29999999999998</v>
      </c>
      <c r="D30" s="72">
        <f>B30+0.1*G1</f>
        <v>183.5</v>
      </c>
      <c r="E30" s="72">
        <f t="shared" si="9"/>
        <v>550.89999999999998</v>
      </c>
      <c r="F30" s="73">
        <f>E30/E47*100</f>
        <v>11.030574855335081</v>
      </c>
      <c r="G30" s="73">
        <f t="shared" si="16"/>
        <v>59.724085457421459</v>
      </c>
      <c r="H30" s="70" t="str">
        <f t="shared" si="10"/>
        <v>A</v>
      </c>
      <c r="I30" s="73">
        <f t="shared" si="11"/>
        <v>183.63333333333333</v>
      </c>
      <c r="J30" s="73">
        <f t="shared" si="12"/>
        <v>0.49888765156985332</v>
      </c>
      <c r="K30" s="73">
        <f t="shared" si="13"/>
        <v>0.27167597653105102</v>
      </c>
      <c r="L30" s="12" t="str">
        <f t="shared" si="14"/>
        <v>X</v>
      </c>
      <c r="M30" s="21" t="str">
        <f t="shared" si="15"/>
        <v>AX</v>
      </c>
      <c r="O30" s="2" t="s">
        <v>132</v>
      </c>
      <c r="P30" s="76" t="s">
        <v>51</v>
      </c>
      <c r="Q30" s="24" t="s">
        <v>51</v>
      </c>
      <c r="R30" s="77" t="s">
        <v>51</v>
      </c>
    </row>
    <row r="31">
      <c r="A31" s="62" t="s">
        <v>108</v>
      </c>
      <c r="B31" s="72">
        <v>105.40000000000001</v>
      </c>
      <c r="C31" s="72">
        <f>B31+0.7*G1</f>
        <v>108.2</v>
      </c>
      <c r="D31" s="72">
        <f>B31+0.3*G1</f>
        <v>106.60000000000001</v>
      </c>
      <c r="E31" s="72">
        <f t="shared" si="9"/>
        <v>320.20000000000005</v>
      </c>
      <c r="F31" s="73">
        <f>E31/E47*100</f>
        <v>6.4113088921370371</v>
      </c>
      <c r="G31" s="73">
        <f t="shared" si="16"/>
        <v>66.135394349558496</v>
      </c>
      <c r="H31" s="70" t="str">
        <f t="shared" si="10"/>
        <v>A</v>
      </c>
      <c r="I31" s="73">
        <f t="shared" si="11"/>
        <v>106.73333333333335</v>
      </c>
      <c r="J31" s="73">
        <f t="shared" si="12"/>
        <v>1.1469767022723489</v>
      </c>
      <c r="K31" s="73">
        <f t="shared" si="13"/>
        <v>1.0746190214918945</v>
      </c>
      <c r="L31" s="12" t="str">
        <f t="shared" si="14"/>
        <v>X</v>
      </c>
      <c r="M31" s="21" t="str">
        <f t="shared" si="15"/>
        <v>AX</v>
      </c>
    </row>
    <row r="32" ht="14.4" customHeight="1">
      <c r="A32" s="62" t="s">
        <v>113</v>
      </c>
      <c r="B32" s="72">
        <v>75.599999999999994</v>
      </c>
      <c r="C32" s="72">
        <f>B32-0.4*G1</f>
        <v>74</v>
      </c>
      <c r="D32" s="72">
        <f>B32-0.3*G1</f>
        <v>74.399999999999991</v>
      </c>
      <c r="E32" s="72">
        <f t="shared" si="9"/>
        <v>224</v>
      </c>
      <c r="F32" s="73">
        <f>E32/E47*100</f>
        <v>4.4851130288528918</v>
      </c>
      <c r="G32" s="73">
        <f t="shared" si="16"/>
        <v>70.620507378411389</v>
      </c>
      <c r="H32" s="70" t="str">
        <f t="shared" si="10"/>
        <v>A</v>
      </c>
      <c r="I32" s="73">
        <f t="shared" si="11"/>
        <v>74.666666666666671</v>
      </c>
      <c r="J32" s="73">
        <f t="shared" si="12"/>
        <v>0.6798692684790365</v>
      </c>
      <c r="K32" s="73">
        <f t="shared" si="13"/>
        <v>0.91053919885585244</v>
      </c>
      <c r="L32" s="12" t="str">
        <f t="shared" si="14"/>
        <v>X</v>
      </c>
      <c r="M32" s="21" t="str">
        <f t="shared" si="15"/>
        <v>AX</v>
      </c>
      <c r="O32" s="78" t="s">
        <v>133</v>
      </c>
      <c r="P32" s="79"/>
      <c r="Q32" s="79"/>
      <c r="R32" s="79"/>
      <c r="S32" s="79"/>
      <c r="T32" s="80"/>
    </row>
    <row r="33">
      <c r="A33" s="62" t="s">
        <v>110</v>
      </c>
      <c r="B33" s="72">
        <v>61.299999999999997</v>
      </c>
      <c r="C33" s="72">
        <f>B33+0.3*G1</f>
        <v>62.5</v>
      </c>
      <c r="D33" s="72">
        <f>B33+0.2*G1</f>
        <v>62.099999999999994</v>
      </c>
      <c r="E33" s="72">
        <f t="shared" si="9"/>
        <v>185.89999999999998</v>
      </c>
      <c r="F33" s="73">
        <f>E33/E47*100</f>
        <v>3.7222433574274669</v>
      </c>
      <c r="G33" s="73">
        <f t="shared" si="16"/>
        <v>74.342750735838862</v>
      </c>
      <c r="H33" s="70" t="str">
        <f t="shared" si="10"/>
        <v>A</v>
      </c>
      <c r="I33" s="73">
        <f t="shared" si="11"/>
        <v>61.966666666666661</v>
      </c>
      <c r="J33" s="73">
        <f t="shared" si="12"/>
        <v>0.49888765156985965</v>
      </c>
      <c r="K33" s="73">
        <f t="shared" si="13"/>
        <v>0.80509034680450731</v>
      </c>
      <c r="L33" s="12" t="str">
        <f t="shared" si="14"/>
        <v>X</v>
      </c>
      <c r="M33" s="21" t="str">
        <f t="shared" si="15"/>
        <v>AX</v>
      </c>
      <c r="O33" s="81"/>
      <c r="P33" s="54"/>
      <c r="Q33" s="54"/>
      <c r="R33" s="54"/>
      <c r="S33" s="54"/>
      <c r="T33" s="82"/>
    </row>
    <row r="34">
      <c r="A34" s="62" t="s">
        <v>115</v>
      </c>
      <c r="B34" s="72">
        <f>14.3*G1</f>
        <v>57.200000000000003</v>
      </c>
      <c r="C34" s="72">
        <f>B34-0.2*G1</f>
        <v>56.400000000000006</v>
      </c>
      <c r="D34" s="72">
        <f>B34+0.3*G1</f>
        <v>58.400000000000006</v>
      </c>
      <c r="E34" s="72">
        <f t="shared" si="9"/>
        <v>172</v>
      </c>
      <c r="F34" s="73">
        <f>E34/E47*100</f>
        <v>3.4439260757263277</v>
      </c>
      <c r="G34" s="73">
        <f t="shared" si="16"/>
        <v>77.786676811565187</v>
      </c>
      <c r="H34" s="70" t="str">
        <f t="shared" si="10"/>
        <v>A</v>
      </c>
      <c r="I34" s="73">
        <f t="shared" si="11"/>
        <v>57.333333333333336</v>
      </c>
      <c r="J34" s="73">
        <f t="shared" si="12"/>
        <v>0.82192186706253034</v>
      </c>
      <c r="K34" s="73">
        <f t="shared" si="13"/>
        <v>1.4335846518532507</v>
      </c>
      <c r="L34" s="12" t="str">
        <f t="shared" si="14"/>
        <v>X</v>
      </c>
      <c r="M34" s="21" t="str">
        <f t="shared" si="15"/>
        <v>AX</v>
      </c>
      <c r="O34" s="81"/>
      <c r="P34" s="54"/>
      <c r="Q34" s="54"/>
      <c r="R34" s="54"/>
      <c r="S34" s="54"/>
      <c r="T34" s="82"/>
    </row>
    <row r="35">
      <c r="A35" s="62" t="s">
        <v>114</v>
      </c>
      <c r="B35" s="72">
        <v>53.799999999999997</v>
      </c>
      <c r="C35" s="72">
        <f>B35+0.1*G1</f>
        <v>54.199999999999996</v>
      </c>
      <c r="D35" s="72">
        <f>B35+0.5*G1</f>
        <v>55.799999999999997</v>
      </c>
      <c r="E35" s="72">
        <f t="shared" si="9"/>
        <v>163.80000000000001</v>
      </c>
      <c r="F35" s="73">
        <f>E35/E47*100</f>
        <v>3.2797389023486776</v>
      </c>
      <c r="G35" s="73">
        <f t="shared" si="16"/>
        <v>81.066415713913869</v>
      </c>
      <c r="H35" s="83" t="str">
        <f t="shared" si="10"/>
        <v>B</v>
      </c>
      <c r="I35" s="73">
        <f t="shared" si="11"/>
        <v>54.600000000000001</v>
      </c>
      <c r="J35" s="73">
        <f t="shared" si="12"/>
        <v>0.86409875978771489</v>
      </c>
      <c r="K35" s="73">
        <f t="shared" si="13"/>
        <v>1.5825984611496609</v>
      </c>
      <c r="L35" s="12" t="str">
        <f t="shared" si="14"/>
        <v>X</v>
      </c>
      <c r="M35" s="21" t="str">
        <f t="shared" si="15"/>
        <v>BX</v>
      </c>
      <c r="O35" s="81"/>
      <c r="P35" s="54"/>
      <c r="Q35" s="54"/>
      <c r="R35" s="54"/>
      <c r="S35" s="54"/>
      <c r="T35" s="82"/>
    </row>
    <row r="36">
      <c r="A36" s="62" t="s">
        <v>103</v>
      </c>
      <c r="B36" s="72">
        <v>55.600000000000001</v>
      </c>
      <c r="C36" s="72">
        <f>B36-0.3*G1</f>
        <v>54.399999999999999</v>
      </c>
      <c r="D36" s="72">
        <f>B36-0.5*G1</f>
        <v>53.600000000000001</v>
      </c>
      <c r="E36" s="72">
        <f t="shared" si="9"/>
        <v>163.59999999999999</v>
      </c>
      <c r="F36" s="73">
        <f>E36/E47*100</f>
        <v>3.2757343371443439</v>
      </c>
      <c r="G36" s="73">
        <f t="shared" si="16"/>
        <v>84.342150051058212</v>
      </c>
      <c r="H36" s="83" t="str">
        <f t="shared" si="10"/>
        <v>B</v>
      </c>
      <c r="I36" s="73">
        <f t="shared" si="11"/>
        <v>54.533333333333331</v>
      </c>
      <c r="J36" s="73">
        <f t="shared" si="12"/>
        <v>0.82192186706253034</v>
      </c>
      <c r="K36" s="73">
        <f t="shared" si="13"/>
        <v>1.5071916877674763</v>
      </c>
      <c r="L36" s="12" t="str">
        <f t="shared" si="14"/>
        <v>X</v>
      </c>
      <c r="M36" s="21" t="str">
        <f t="shared" si="15"/>
        <v>BX</v>
      </c>
      <c r="O36" s="81"/>
      <c r="P36" s="54"/>
      <c r="Q36" s="54"/>
      <c r="R36" s="54"/>
      <c r="S36" s="54"/>
      <c r="T36" s="82"/>
    </row>
    <row r="37">
      <c r="A37" s="62" t="s">
        <v>107</v>
      </c>
      <c r="B37" s="72">
        <f>11.8*G1</f>
        <v>47.200000000000003</v>
      </c>
      <c r="C37" s="72">
        <f>B37+0.8*G1</f>
        <v>50.400000000000006</v>
      </c>
      <c r="D37" s="72">
        <f>B37-0.2*G1</f>
        <v>46.400000000000006</v>
      </c>
      <c r="E37" s="72">
        <f t="shared" si="9"/>
        <v>144</v>
      </c>
      <c r="F37" s="73">
        <f>E37/E47*100</f>
        <v>2.8832869471197164</v>
      </c>
      <c r="G37" s="73">
        <f t="shared" si="16"/>
        <v>87.225436998177926</v>
      </c>
      <c r="H37" s="83" t="str">
        <f t="shared" si="10"/>
        <v>B</v>
      </c>
      <c r="I37" s="73">
        <f t="shared" si="11"/>
        <v>48</v>
      </c>
      <c r="J37" s="73">
        <f t="shared" si="12"/>
        <v>1.7281975195754298</v>
      </c>
      <c r="K37" s="73">
        <f t="shared" si="13"/>
        <v>3.6004114991154785</v>
      </c>
      <c r="L37" s="12" t="str">
        <f t="shared" si="14"/>
        <v>X</v>
      </c>
      <c r="M37" s="21" t="str">
        <f t="shared" si="15"/>
        <v>BX</v>
      </c>
      <c r="O37" s="81"/>
      <c r="P37" s="54"/>
      <c r="Q37" s="54"/>
      <c r="R37" s="54"/>
      <c r="S37" s="54"/>
      <c r="T37" s="82"/>
    </row>
    <row r="38">
      <c r="A38" s="62" t="s">
        <v>98</v>
      </c>
      <c r="B38" s="72">
        <v>31.5</v>
      </c>
      <c r="C38" s="72">
        <f>B38+1.9*G1</f>
        <v>39.100000000000001</v>
      </c>
      <c r="D38" s="72">
        <f>B14-0.3*G1</f>
        <v>46</v>
      </c>
      <c r="E38" s="72">
        <f t="shared" si="9"/>
        <v>116.59999999999999</v>
      </c>
      <c r="F38" s="73">
        <f>E38/E47*100</f>
        <v>2.3346615141261036</v>
      </c>
      <c r="G38" s="73">
        <f t="shared" si="16"/>
        <v>89.560098512304023</v>
      </c>
      <c r="H38" s="83" t="str">
        <f t="shared" si="10"/>
        <v>B</v>
      </c>
      <c r="I38" s="73">
        <f t="shared" si="11"/>
        <v>38.866666666666667</v>
      </c>
      <c r="J38" s="73">
        <f t="shared" si="12"/>
        <v>5.9218990947912049</v>
      </c>
      <c r="K38" s="73">
        <f t="shared" si="13"/>
        <v>15.236447070646324</v>
      </c>
      <c r="L38" s="12" t="str">
        <f t="shared" si="14"/>
        <v>Y</v>
      </c>
      <c r="M38" s="21" t="str">
        <f t="shared" si="15"/>
        <v>BY</v>
      </c>
      <c r="O38" s="81"/>
      <c r="P38" s="54"/>
      <c r="Q38" s="54"/>
      <c r="R38" s="54"/>
      <c r="S38" s="54"/>
      <c r="T38" s="82"/>
    </row>
    <row r="39">
      <c r="A39" s="62" t="s">
        <v>97</v>
      </c>
      <c r="B39" s="72">
        <f>8.4*G1</f>
        <v>33.600000000000001</v>
      </c>
      <c r="C39" s="72">
        <f>B39+0.5*G1</f>
        <v>35.600000000000001</v>
      </c>
      <c r="D39" s="72">
        <f>B39+0.7*G1</f>
        <v>36.399999999999999</v>
      </c>
      <c r="E39" s="72">
        <f t="shared" si="9"/>
        <v>105.59999999999999</v>
      </c>
      <c r="F39" s="73">
        <f>E39/E47*100</f>
        <v>2.1144104278877918</v>
      </c>
      <c r="G39" s="73">
        <f t="shared" si="16"/>
        <v>91.674508940191814</v>
      </c>
      <c r="H39" s="83" t="str">
        <f t="shared" si="10"/>
        <v>B</v>
      </c>
      <c r="I39" s="73">
        <f t="shared" si="11"/>
        <v>35.199999999999996</v>
      </c>
      <c r="J39" s="73">
        <f t="shared" si="12"/>
        <v>1.1775681155103785</v>
      </c>
      <c r="K39" s="73">
        <f t="shared" si="13"/>
        <v>3.3453639645181212</v>
      </c>
      <c r="L39" s="12" t="str">
        <f t="shared" si="14"/>
        <v>X</v>
      </c>
      <c r="M39" s="21" t="str">
        <f t="shared" si="15"/>
        <v>BX</v>
      </c>
      <c r="O39" s="81"/>
      <c r="P39" s="54"/>
      <c r="Q39" s="54"/>
      <c r="R39" s="54"/>
      <c r="S39" s="54"/>
      <c r="T39" s="82"/>
    </row>
    <row r="40">
      <c r="A40" s="62" t="s">
        <v>111</v>
      </c>
      <c r="B40" s="72">
        <v>30.199999999999999</v>
      </c>
      <c r="C40" s="72">
        <f>B40+1.1*G1</f>
        <v>34.600000000000001</v>
      </c>
      <c r="D40" s="72">
        <f>B40+0.8*G1</f>
        <v>33.399999999999999</v>
      </c>
      <c r="E40" s="72">
        <f t="shared" si="9"/>
        <v>98.199999999999989</v>
      </c>
      <c r="F40" s="73">
        <f>E40/E47*100</f>
        <v>1.9662415153274728</v>
      </c>
      <c r="G40" s="73">
        <f t="shared" si="16"/>
        <v>93.640750455519282</v>
      </c>
      <c r="H40" s="83" t="str">
        <f t="shared" si="10"/>
        <v>B</v>
      </c>
      <c r="I40" s="73">
        <f t="shared" si="11"/>
        <v>32.733333333333327</v>
      </c>
      <c r="J40" s="73">
        <f t="shared" si="12"/>
        <v>1.8571184369578833</v>
      </c>
      <c r="K40" s="73">
        <f t="shared" si="13"/>
        <v>5.67347791331329</v>
      </c>
      <c r="L40" s="12" t="str">
        <f t="shared" si="14"/>
        <v>X</v>
      </c>
      <c r="M40" s="21" t="str">
        <f t="shared" si="15"/>
        <v>BX</v>
      </c>
      <c r="O40" s="81"/>
      <c r="P40" s="54"/>
      <c r="Q40" s="54"/>
      <c r="R40" s="54"/>
      <c r="S40" s="54"/>
      <c r="T40" s="82"/>
    </row>
    <row r="41">
      <c r="A41" s="62" t="s">
        <v>101</v>
      </c>
      <c r="B41" s="72">
        <v>26.899999999999999</v>
      </c>
      <c r="C41" s="72">
        <f>B41+0.7*G1</f>
        <v>29.699999999999999</v>
      </c>
      <c r="D41" s="72">
        <f>B41+0.3*G1</f>
        <v>28.099999999999998</v>
      </c>
      <c r="E41" s="72">
        <f t="shared" si="9"/>
        <v>84.699999999999989</v>
      </c>
      <c r="F41" s="73">
        <f>E41/E47*100</f>
        <v>1.6959333640349996</v>
      </c>
      <c r="G41" s="73">
        <f t="shared" si="16"/>
        <v>95.336683819554281</v>
      </c>
      <c r="H41" s="84" t="str">
        <f t="shared" si="10"/>
        <v>C</v>
      </c>
      <c r="I41" s="73">
        <f t="shared" si="11"/>
        <v>28.233333333333331</v>
      </c>
      <c r="J41" s="73">
        <f t="shared" si="12"/>
        <v>1.1469767022723505</v>
      </c>
      <c r="K41" s="73">
        <f t="shared" si="13"/>
        <v>4.0624912713306403</v>
      </c>
      <c r="L41" s="12" t="str">
        <f t="shared" si="14"/>
        <v>X</v>
      </c>
      <c r="M41" s="21" t="str">
        <f t="shared" si="15"/>
        <v>CX</v>
      </c>
      <c r="O41" s="81"/>
      <c r="P41" s="54"/>
      <c r="Q41" s="54"/>
      <c r="R41" s="54"/>
      <c r="S41" s="54"/>
      <c r="T41" s="82"/>
    </row>
    <row r="42">
      <c r="A42" s="62" t="s">
        <v>106</v>
      </c>
      <c r="B42" s="72">
        <v>15.9</v>
      </c>
      <c r="C42" s="72">
        <f>B42+1.3*G1</f>
        <v>21.100000000000001</v>
      </c>
      <c r="D42" s="72">
        <f>B42+1*G1</f>
        <v>19.899999999999999</v>
      </c>
      <c r="E42" s="72">
        <f t="shared" si="9"/>
        <v>56.899999999999999</v>
      </c>
      <c r="F42" s="73">
        <f>E42/E47*100</f>
        <v>1.1392988006327214</v>
      </c>
      <c r="G42" s="73">
        <f t="shared" si="16"/>
        <v>96.475982620186997</v>
      </c>
      <c r="H42" s="84" t="str">
        <f t="shared" si="10"/>
        <v>C</v>
      </c>
      <c r="I42" s="73">
        <f t="shared" si="11"/>
        <v>18.966666666666665</v>
      </c>
      <c r="J42" s="73">
        <f t="shared" si="12"/>
        <v>2.223110933404409</v>
      </c>
      <c r="K42" s="73">
        <f t="shared" si="13"/>
        <v>11.721147276297412</v>
      </c>
      <c r="L42" s="12" t="str">
        <f t="shared" si="14"/>
        <v>Y</v>
      </c>
      <c r="M42" s="21" t="str">
        <f t="shared" si="15"/>
        <v>CY</v>
      </c>
      <c r="O42" s="81"/>
      <c r="P42" s="54"/>
      <c r="Q42" s="54"/>
      <c r="R42" s="54"/>
      <c r="S42" s="54"/>
      <c r="T42" s="82"/>
    </row>
    <row r="43">
      <c r="A43" s="62" t="s">
        <v>99</v>
      </c>
      <c r="B43" s="72">
        <v>17</v>
      </c>
      <c r="C43" s="72">
        <f>B43+0.2*G1</f>
        <v>17.800000000000001</v>
      </c>
      <c r="D43" s="72">
        <f>B43+0.4*G1</f>
        <v>18.600000000000001</v>
      </c>
      <c r="E43" s="72">
        <f t="shared" si="9"/>
        <v>53.399999999999999</v>
      </c>
      <c r="F43" s="73">
        <f>E43/E47*100</f>
        <v>1.0692189095568949</v>
      </c>
      <c r="G43" s="73">
        <f t="shared" si="16"/>
        <v>97.545201529743892</v>
      </c>
      <c r="H43" s="84" t="str">
        <f t="shared" si="10"/>
        <v>C</v>
      </c>
      <c r="I43" s="73">
        <f t="shared" si="11"/>
        <v>17.800000000000001</v>
      </c>
      <c r="J43" s="73">
        <f t="shared" si="12"/>
        <v>0.65319726474218143</v>
      </c>
      <c r="K43" s="73">
        <f t="shared" si="13"/>
        <v>3.6696475547313563</v>
      </c>
      <c r="L43" s="12" t="str">
        <f t="shared" si="14"/>
        <v>X</v>
      </c>
      <c r="M43" s="21" t="str">
        <f t="shared" si="15"/>
        <v>CX</v>
      </c>
      <c r="O43" s="81"/>
      <c r="P43" s="54"/>
      <c r="Q43" s="54"/>
      <c r="R43" s="54"/>
      <c r="S43" s="54"/>
      <c r="T43" s="82"/>
    </row>
    <row r="44">
      <c r="A44" s="62" t="s">
        <v>96</v>
      </c>
      <c r="B44" s="72">
        <v>15.199999999999999</v>
      </c>
      <c r="C44" s="72">
        <f>B44-0.8*G1</f>
        <v>12</v>
      </c>
      <c r="D44" s="72">
        <f>B44+1.3*G1</f>
        <v>20.399999999999999</v>
      </c>
      <c r="E44" s="72">
        <f t="shared" si="9"/>
        <v>47.599999999999994</v>
      </c>
      <c r="F44" s="73">
        <f>E44/E47*100</f>
        <v>0.95308651863123939</v>
      </c>
      <c r="G44" s="73">
        <f t="shared" si="16"/>
        <v>98.49828804837513</v>
      </c>
      <c r="H44" s="84" t="str">
        <f t="shared" si="10"/>
        <v>C</v>
      </c>
      <c r="I44" s="73">
        <f t="shared" si="11"/>
        <v>15.866666666666665</v>
      </c>
      <c r="J44" s="73">
        <f t="shared" si="12"/>
        <v>3.4615346628659114</v>
      </c>
      <c r="K44" s="73">
        <f t="shared" si="13"/>
        <v>21.816394934028853</v>
      </c>
      <c r="L44" s="12" t="str">
        <f t="shared" si="14"/>
        <v>Y</v>
      </c>
      <c r="M44" s="21" t="str">
        <f t="shared" si="15"/>
        <v>CY</v>
      </c>
      <c r="O44" s="81"/>
      <c r="P44" s="54"/>
      <c r="Q44" s="54"/>
      <c r="R44" s="54"/>
      <c r="S44" s="54"/>
      <c r="T44" s="82"/>
    </row>
    <row r="45">
      <c r="A45" s="62" t="s">
        <v>109</v>
      </c>
      <c r="B45" s="72">
        <v>15.4</v>
      </c>
      <c r="C45" s="72">
        <f>B45-0.1*G1</f>
        <v>15</v>
      </c>
      <c r="D45" s="72">
        <f>B45+0.1*G1</f>
        <v>15.800000000000001</v>
      </c>
      <c r="E45" s="72">
        <f t="shared" si="9"/>
        <v>46.200000000000003</v>
      </c>
      <c r="F45" s="73">
        <f>E45/E47*100</f>
        <v>0.92505456220090909</v>
      </c>
      <c r="G45" s="73">
        <f t="shared" si="16"/>
        <v>99.423342610576043</v>
      </c>
      <c r="H45" s="84" t="str">
        <f t="shared" si="10"/>
        <v>C</v>
      </c>
      <c r="I45" s="73">
        <f t="shared" si="11"/>
        <v>15.4</v>
      </c>
      <c r="J45" s="73">
        <f t="shared" si="12"/>
        <v>0.32659863237109071</v>
      </c>
      <c r="K45" s="73">
        <f t="shared" si="13"/>
        <v>2.1207703400720179</v>
      </c>
      <c r="L45" s="12" t="str">
        <f t="shared" si="14"/>
        <v>X</v>
      </c>
      <c r="M45" s="21" t="str">
        <f t="shared" si="15"/>
        <v>CX</v>
      </c>
      <c r="O45" s="81"/>
      <c r="P45" s="54"/>
      <c r="Q45" s="54"/>
      <c r="R45" s="54"/>
      <c r="S45" s="54"/>
      <c r="T45" s="82"/>
    </row>
    <row r="46">
      <c r="A46" s="85" t="s">
        <v>102</v>
      </c>
      <c r="B46" s="86">
        <f>2.4*G1</f>
        <v>9.5999999999999996</v>
      </c>
      <c r="C46" s="86">
        <f>B46+0.1*G1</f>
        <v>10</v>
      </c>
      <c r="D46" s="86">
        <f>B46-0.1*G1</f>
        <v>9.1999999999999993</v>
      </c>
      <c r="E46" s="86">
        <f t="shared" si="9"/>
        <v>28.800000000000001</v>
      </c>
      <c r="F46" s="87">
        <f>E46/E47*100</f>
        <v>0.57665738942394329</v>
      </c>
      <c r="G46" s="73">
        <f t="shared" si="16"/>
        <v>99.999999999999986</v>
      </c>
      <c r="H46" s="84" t="str">
        <f t="shared" si="10"/>
        <v>C</v>
      </c>
      <c r="I46" s="87">
        <f t="shared" si="11"/>
        <v>9.5999999999999996</v>
      </c>
      <c r="J46" s="87">
        <f t="shared" si="12"/>
        <v>0.32659863237109071</v>
      </c>
      <c r="K46" s="87">
        <f t="shared" si="13"/>
        <v>3.4020690871988619</v>
      </c>
      <c r="L46" s="88" t="str">
        <f t="shared" si="14"/>
        <v>X</v>
      </c>
      <c r="M46" s="89" t="str">
        <f t="shared" si="15"/>
        <v>CX</v>
      </c>
      <c r="O46" s="81"/>
      <c r="P46" s="54"/>
      <c r="Q46" s="54"/>
      <c r="R46" s="54"/>
      <c r="S46" s="54"/>
      <c r="T46" s="82"/>
    </row>
    <row r="47">
      <c r="A47" s="2" t="s">
        <v>134</v>
      </c>
      <c r="B47" s="90">
        <f>SUM(B27:B46)</f>
        <v>1643.8</v>
      </c>
      <c r="C47" s="90">
        <f>SUM(C27:C46)</f>
        <v>1670.1999999999998</v>
      </c>
      <c r="D47" s="90">
        <f>SUM(D27:D46)</f>
        <v>1680.3000000000002</v>
      </c>
      <c r="E47" s="90">
        <f>SUM(E27:E46)</f>
        <v>4994.3000000000002</v>
      </c>
      <c r="F47" s="91">
        <f>SUM(F27:F46)</f>
        <v>99.999999999999986</v>
      </c>
      <c r="G47" s="2" t="s">
        <v>51</v>
      </c>
      <c r="H47" s="2" t="s">
        <v>51</v>
      </c>
      <c r="I47" s="2" t="s">
        <v>51</v>
      </c>
      <c r="J47" s="2" t="s">
        <v>51</v>
      </c>
      <c r="K47" s="2" t="s">
        <v>51</v>
      </c>
      <c r="L47" s="2" t="s">
        <v>51</v>
      </c>
      <c r="M47" s="2" t="s">
        <v>51</v>
      </c>
      <c r="O47" s="92"/>
      <c r="P47" s="93"/>
      <c r="Q47" s="93"/>
      <c r="R47" s="93"/>
      <c r="S47" s="93"/>
      <c r="T47" s="94"/>
    </row>
    <row r="48" ht="14.25">
      <c r="B48" s="4"/>
      <c r="C48" s="4"/>
      <c r="D48" s="4"/>
      <c r="E48" s="4"/>
      <c r="F48" s="4"/>
    </row>
  </sheetData>
  <sortState ref="A25:M47">
    <sortCondition descending="1" ref="F27:F46"/>
  </sortState>
  <mergeCells count="14">
    <mergeCell ref="A1:A2"/>
    <mergeCell ref="B1:D1"/>
    <mergeCell ref="A25:A26"/>
    <mergeCell ref="B25:E25"/>
    <mergeCell ref="F25:F26"/>
    <mergeCell ref="G25:G26"/>
    <mergeCell ref="H25:H26"/>
    <mergeCell ref="I25:I26"/>
    <mergeCell ref="J25:J26"/>
    <mergeCell ref="K25:K26"/>
    <mergeCell ref="L25:L26"/>
    <mergeCell ref="M25:M26"/>
    <mergeCell ref="O26:R26"/>
    <mergeCell ref="O32:T47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revision>2</cp:revision>
  <dcterms:created xsi:type="dcterms:W3CDTF">2022-02-02T15:53:17Z</dcterms:created>
  <dcterms:modified xsi:type="dcterms:W3CDTF">2023-02-27T09:20:04Z</dcterms:modified>
</cp:coreProperties>
</file>