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3.1" sheetId="1" state="visible" r:id="rId1"/>
    <sheet name="3.2" sheetId="2" state="visible" r:id="rId2"/>
    <sheet name="3.3" sheetId="3" state="visible" r:id="rId3"/>
    <sheet name="3.4" sheetId="4" state="visible" r:id="rId4"/>
  </sheets>
  <calcPr/>
</workbook>
</file>

<file path=xl/sharedStrings.xml><?xml version="1.0" encoding="utf-8"?>
<sst xmlns="http://schemas.openxmlformats.org/spreadsheetml/2006/main" count="210" uniqueCount="210">
  <si>
    <t xml:space="preserve">Виды основных средств</t>
  </si>
  <si>
    <t xml:space="preserve">Стоимость основных средств, тыс. руб.</t>
  </si>
  <si>
    <t xml:space="preserve">Объем выпущенной продукции, тыс. руб.</t>
  </si>
  <si>
    <t xml:space="preserve">Среднесписочная численность ППП, чел.</t>
  </si>
  <si>
    <t>Вариант</t>
  </si>
  <si>
    <t xml:space="preserve">на начало года</t>
  </si>
  <si>
    <t>введенных</t>
  </si>
  <si>
    <t>выбывших</t>
  </si>
  <si>
    <t xml:space="preserve">14120 / 15060</t>
  </si>
  <si>
    <t xml:space="preserve">151 / 160</t>
  </si>
  <si>
    <t>сумма</t>
  </si>
  <si>
    <t>дата</t>
  </si>
  <si>
    <t xml:space="preserve">1. Здания</t>
  </si>
  <si>
    <t xml:space="preserve">2. Сооружения</t>
  </si>
  <si>
    <t>-</t>
  </si>
  <si>
    <t>Показатели</t>
  </si>
  <si>
    <t xml:space="preserve">Значения по периодам</t>
  </si>
  <si>
    <t>Изменение</t>
  </si>
  <si>
    <t xml:space="preserve">3. Передаточные устройства</t>
  </si>
  <si>
    <t>базовый</t>
  </si>
  <si>
    <t>отчетный</t>
  </si>
  <si>
    <t xml:space="preserve">4. Рабочие и силовые машины, механизмы, оборудование</t>
  </si>
  <si>
    <t xml:space="preserve">1. Объем выпущенной продукции</t>
  </si>
  <si>
    <t xml:space="preserve">2. Среднесписочная численность ППП</t>
  </si>
  <si>
    <t xml:space="preserve">5. Измерительные и регулирующие приборы</t>
  </si>
  <si>
    <t xml:space="preserve">6. Вычислительная техника</t>
  </si>
  <si>
    <t xml:space="preserve">7. Транспортные средства</t>
  </si>
  <si>
    <t xml:space="preserve">8. Прочее имущество</t>
  </si>
  <si>
    <t xml:space="preserve">виды основных средств</t>
  </si>
  <si>
    <t xml:space="preserve">Структура ОС, %</t>
  </si>
  <si>
    <t>начало</t>
  </si>
  <si>
    <t>выбытых</t>
  </si>
  <si>
    <t xml:space="preserve">на конец года</t>
  </si>
  <si>
    <t xml:space="preserve">Начало года</t>
  </si>
  <si>
    <t xml:space="preserve">Конец года </t>
  </si>
  <si>
    <t xml:space="preserve"> Изменение</t>
  </si>
  <si>
    <t xml:space="preserve"> </t>
  </si>
  <si>
    <t>КВВ=</t>
  </si>
  <si>
    <t xml:space="preserve">9. Итого</t>
  </si>
  <si>
    <t>КВЫБ</t>
  </si>
  <si>
    <t xml:space="preserve">стоимость ОС на начало года ОСн</t>
  </si>
  <si>
    <t xml:space="preserve">Введенные ОС</t>
  </si>
  <si>
    <t xml:space="preserve">Выбывшие ОС</t>
  </si>
  <si>
    <t xml:space="preserve">Среднегодовая стоимость ОС ОСср.г</t>
  </si>
  <si>
    <t xml:space="preserve">Сумма Освв</t>
  </si>
  <si>
    <t xml:space="preserve">Число месяцев</t>
  </si>
  <si>
    <t xml:space="preserve">ср. год. сумма Освв</t>
  </si>
  <si>
    <t xml:space="preserve">Сумма Освыб</t>
  </si>
  <si>
    <t>Источник</t>
  </si>
  <si>
    <t xml:space="preserve">исх. данные, табл. 4.3</t>
  </si>
  <si>
    <t xml:space="preserve">2. Среднегодовая стоимость ОС</t>
  </si>
  <si>
    <t xml:space="preserve">см. табл. 4.5</t>
  </si>
  <si>
    <t xml:space="preserve">3. Фондоотдача</t>
  </si>
  <si>
    <t xml:space="preserve">п. 1 / п. 2</t>
  </si>
  <si>
    <t xml:space="preserve">дельта ВП=</t>
  </si>
  <si>
    <t xml:space="preserve">4. Фондоемкость</t>
  </si>
  <si>
    <t xml:space="preserve">п. 2 / п. 1</t>
  </si>
  <si>
    <t xml:space="preserve">5. Среднесписочная численность ППП</t>
  </si>
  <si>
    <t xml:space="preserve">Таким образом, фондоотдача увеличилась на 0,1443 руб/руб, фондоемкость уменьшилась на 0,0055 руб/руб, за счет увеличения фондоотдачи объем выпуска продукции в отчетном периоде увеличился на 456,83 тыс. руб. В целом эффективность использования средств выросла.</t>
  </si>
  <si>
    <t xml:space="preserve">6. Фондовооруженность</t>
  </si>
  <si>
    <t xml:space="preserve">п.2 / п. 5</t>
  </si>
  <si>
    <t xml:space="preserve">Таблица 3.8</t>
  </si>
  <si>
    <t xml:space="preserve">Таблица 3.9</t>
  </si>
  <si>
    <t>Значения</t>
  </si>
  <si>
    <t xml:space="preserve">значения по годам</t>
  </si>
  <si>
    <t xml:space="preserve">1. Стоимость единицы оборудования</t>
  </si>
  <si>
    <t xml:space="preserve">2. Нормативный срок службы</t>
  </si>
  <si>
    <t xml:space="preserve">Объем производства продукции</t>
  </si>
  <si>
    <t xml:space="preserve">Линейный способ</t>
  </si>
  <si>
    <t>год</t>
  </si>
  <si>
    <t xml:space="preserve">норма амортизации</t>
  </si>
  <si>
    <t xml:space="preserve">амортизационные отчисления</t>
  </si>
  <si>
    <t xml:space="preserve">остаточная стоимость</t>
  </si>
  <si>
    <t xml:space="preserve">амортизационный фонд</t>
  </si>
  <si>
    <t xml:space="preserve">Нелинейный (прямой метод суммы лет)</t>
  </si>
  <si>
    <t xml:space="preserve">Нелинейный (обратный метод суммы лет)</t>
  </si>
  <si>
    <t xml:space="preserve">Нелинейный (метод уменьшаемого остатка с коэффициентом ускорения 2)</t>
  </si>
  <si>
    <t xml:space="preserve">Производительный способ начисления амортизации</t>
  </si>
  <si>
    <t xml:space="preserve">Таблица 3.15</t>
  </si>
  <si>
    <t>показатели</t>
  </si>
  <si>
    <t>обозначения</t>
  </si>
  <si>
    <t>значения</t>
  </si>
  <si>
    <t xml:space="preserve">1. Норма расхода материала на изделие</t>
  </si>
  <si>
    <t>M</t>
  </si>
  <si>
    <t xml:space="preserve">2. Цена материала</t>
  </si>
  <si>
    <t>Цm</t>
  </si>
  <si>
    <t xml:space="preserve">3. Годовая программа выпуска</t>
  </si>
  <si>
    <t>V</t>
  </si>
  <si>
    <t xml:space="preserve">4. Отпускная цена изделия</t>
  </si>
  <si>
    <t>Цотп</t>
  </si>
  <si>
    <t xml:space="preserve">5. Себестоимость единицы изделия</t>
  </si>
  <si>
    <t>С</t>
  </si>
  <si>
    <t xml:space="preserve">3. Интервал между поставками</t>
  </si>
  <si>
    <t>Tпост</t>
  </si>
  <si>
    <t xml:space="preserve">4. Страховой запас</t>
  </si>
  <si>
    <t>Tстрах</t>
  </si>
  <si>
    <t xml:space="preserve">5. Коэффициент нарастания затрат</t>
  </si>
  <si>
    <t>kнз</t>
  </si>
  <si>
    <t xml:space="preserve">6. Длительность производственного цикла</t>
  </si>
  <si>
    <t>Tпроизв</t>
  </si>
  <si>
    <t xml:space="preserve">7. Норматив расходов будущих периодов</t>
  </si>
  <si>
    <t>НБП</t>
  </si>
  <si>
    <t xml:space="preserve">8. Норма запаса готовой продукции</t>
  </si>
  <si>
    <t>Tгп</t>
  </si>
  <si>
    <t xml:space="preserve">Таблица 3.17</t>
  </si>
  <si>
    <t xml:space="preserve">1. Потребность в материалах на программу выпуска</t>
  </si>
  <si>
    <t xml:space="preserve">V· m</t>
  </si>
  <si>
    <t xml:space="preserve">2. Однодневная потребность в материалах</t>
  </si>
  <si>
    <t xml:space="preserve">п.1 / 360</t>
  </si>
  <si>
    <t xml:space="preserve">3. Текущий запас материалов</t>
  </si>
  <si>
    <t xml:space="preserve">п.2 · Tпост</t>
  </si>
  <si>
    <t xml:space="preserve">4. Страховой запас материалов</t>
  </si>
  <si>
    <t xml:space="preserve">п.2 · Tстрах</t>
  </si>
  <si>
    <t xml:space="preserve">5. Норматив производственных запасов</t>
  </si>
  <si>
    <t xml:space="preserve">(п.3 / 2 + п.4) · Цm</t>
  </si>
  <si>
    <t xml:space="preserve">6. Однодневный выпуск в продукции</t>
  </si>
  <si>
    <t xml:space="preserve">V / 360</t>
  </si>
  <si>
    <t xml:space="preserve">7. Норматив незавершенного производства</t>
  </si>
  <si>
    <t xml:space="preserve">kнз· п.6 ·С· Tпроизв</t>
  </si>
  <si>
    <t xml:space="preserve">8. Норматив расходов будущих периодов</t>
  </si>
  <si>
    <t xml:space="preserve">исх. данные, табл. 3.16</t>
  </si>
  <si>
    <t xml:space="preserve">9. Годовой объем выпущенной продукции</t>
  </si>
  <si>
    <t xml:space="preserve">V· Цотп</t>
  </si>
  <si>
    <t xml:space="preserve">10. Норматив запасов готовой продукции</t>
  </si>
  <si>
    <t xml:space="preserve">п.9/360 · Tгп</t>
  </si>
  <si>
    <t xml:space="preserve">11. Норматив оборотных средств</t>
  </si>
  <si>
    <t xml:space="preserve">п.5 + п.7 + п.8 + п.10</t>
  </si>
  <si>
    <t xml:space="preserve">Таблица 3.18</t>
  </si>
  <si>
    <t xml:space="preserve">1. Коэффициент оборачиваемости, оборотов</t>
  </si>
  <si>
    <t xml:space="preserve">п.9 табл.3.17 / п.11 табл.3.17</t>
  </si>
  <si>
    <t xml:space="preserve">2. Коэффициент загрузки</t>
  </si>
  <si>
    <t xml:space="preserve">п.11 табл. 3.17 / п.9 табл. 3.17</t>
  </si>
  <si>
    <t xml:space="preserve">3. Длительность одного оборота, дней</t>
  </si>
  <si>
    <t xml:space="preserve">360 / п.1</t>
  </si>
  <si>
    <t xml:space="preserve">абсолютное высвобождение</t>
  </si>
  <si>
    <t xml:space="preserve">относительное высвобождение</t>
  </si>
  <si>
    <t xml:space="preserve">Таким образом, эффективность использования оборотных
средств предприятия уменьшилась: коэффициент оборачиваемости
увеличился на 0,019 оборота, а длительность одного оборота уменьшилась на 2.583 дня. В результате этого в отчетном периоде необходимо вложить
оборотных средств на сумму 218.22 тыс. руб.</t>
  </si>
  <si>
    <t xml:space="preserve">Таблица 3.19</t>
  </si>
  <si>
    <t xml:space="preserve">Таблица 3.21</t>
  </si>
  <si>
    <t>Обозначения</t>
  </si>
  <si>
    <t xml:space="preserve">1. Годовая программа выпуска</t>
  </si>
  <si>
    <t xml:space="preserve">1. Списочная численность промышленнопроизводственного персонала предприятия</t>
  </si>
  <si>
    <t xml:space="preserve">Ч б ППП</t>
  </si>
  <si>
    <t xml:space="preserve">2. Норма выработки в смену</t>
  </si>
  <si>
    <t>Нвыр</t>
  </si>
  <si>
    <t xml:space="preserve">2. Списочная численность работников предприятия</t>
  </si>
  <si>
    <t xml:space="preserve">Ч б сп</t>
  </si>
  <si>
    <t xml:space="preserve">3. Коэффициент выполнения норм выработки</t>
  </si>
  <si>
    <t>kвыр</t>
  </si>
  <si>
    <t xml:space="preserve">3. Годовая программа выпуска, млн. шт.</t>
  </si>
  <si>
    <t xml:space="preserve">V б</t>
  </si>
  <si>
    <t xml:space="preserve">4. Количество рабочих дней в году</t>
  </si>
  <si>
    <t>Т</t>
  </si>
  <si>
    <t xml:space="preserve">4. Отпускная цена единицы продукции, руб</t>
  </si>
  <si>
    <t xml:space="preserve">Ц б отп</t>
  </si>
  <si>
    <t xml:space="preserve">5. Режим работы, смены</t>
  </si>
  <si>
    <t>kсм</t>
  </si>
  <si>
    <t xml:space="preserve">6. Норма обслуживания</t>
  </si>
  <si>
    <t>Нобсл</t>
  </si>
  <si>
    <t xml:space="preserve">Таблица 3.22</t>
  </si>
  <si>
    <t xml:space="preserve">7. Количество установленного оборудования</t>
  </si>
  <si>
    <t>Р</t>
  </si>
  <si>
    <t>Значение</t>
  </si>
  <si>
    <t xml:space="preserve">8. Коэффициент приведения явочной численности в списочную</t>
  </si>
  <si>
    <t>kприв</t>
  </si>
  <si>
    <t xml:space="preserve">1. Годовая норма выработки одним рабочим сдельщиком</t>
  </si>
  <si>
    <t xml:space="preserve">Нвыр · Т</t>
  </si>
  <si>
    <t xml:space="preserve">9. Списочная численность служащих предприятия</t>
  </si>
  <si>
    <t>Чсл</t>
  </si>
  <si>
    <t xml:space="preserve">2. Численность основных рабочих</t>
  </si>
  <si>
    <t xml:space="preserve">V / ( п.1 · kвыр)</t>
  </si>
  <si>
    <t xml:space="preserve">10. Списочная численность непроизводственного персонала</t>
  </si>
  <si>
    <t>Чнепр</t>
  </si>
  <si>
    <t xml:space="preserve">3. Однодневная потребность в материалах</t>
  </si>
  <si>
    <t xml:space="preserve">11. Количество работников, выбывших в течение года</t>
  </si>
  <si>
    <t>Чвыб</t>
  </si>
  <si>
    <t xml:space="preserve">4. Явочная численность вспомогательных рабочих</t>
  </si>
  <si>
    <t xml:space="preserve">(Р / Нобсл) · kсм</t>
  </si>
  <si>
    <t xml:space="preserve">12. Количество работников, принятых в течение года</t>
  </si>
  <si>
    <t>Чпр</t>
  </si>
  <si>
    <t xml:space="preserve">5. Списочная численность вспомогательных рабочих</t>
  </si>
  <si>
    <t xml:space="preserve">п.4 · kприв</t>
  </si>
  <si>
    <t xml:space="preserve">13. Отпускная цена единицы продукции</t>
  </si>
  <si>
    <t xml:space="preserve">6. Списочная численность промышленнопроизводственного персонала</t>
  </si>
  <si>
    <t xml:space="preserve">п.2 + п. 5 + Чсл</t>
  </si>
  <si>
    <t xml:space="preserve">14. Нормативная трудоемкость изготовления изделия</t>
  </si>
  <si>
    <t>t</t>
  </si>
  <si>
    <t xml:space="preserve">7. Списочная численность работников предприятия</t>
  </si>
  <si>
    <t xml:space="preserve">п.6 + Чнепр</t>
  </si>
  <si>
    <t xml:space="preserve">Таблица 3.23</t>
  </si>
  <si>
    <t xml:space="preserve">1. Коэффициент выбытия кадров</t>
  </si>
  <si>
    <t xml:space="preserve">Чвыб / Чсп</t>
  </si>
  <si>
    <t xml:space="preserve">2. Коэффициент приема кадров</t>
  </si>
  <si>
    <t xml:space="preserve">Чпр / Чсп</t>
  </si>
  <si>
    <t xml:space="preserve">3. Коэффициент стабильности кадров</t>
  </si>
  <si>
    <t xml:space="preserve">(Чсп - Чвыб - Чпр) / Чсп</t>
  </si>
  <si>
    <t xml:space="preserve">4. Коэффициент замещения</t>
  </si>
  <si>
    <t xml:space="preserve">(Чпр - Чвыб) / Чсп</t>
  </si>
  <si>
    <t>∆Ч=</t>
  </si>
  <si>
    <t xml:space="preserve">Таблица 3.24</t>
  </si>
  <si>
    <r>
      <rPr>
        <sz val="12"/>
        <color theme="1"/>
        <rFont val="Courier New"/>
      </rPr>
      <t xml:space="preserve">Таким образом, производительность труда работников в отчетном периоде выросла  по сравнению с базисным более чем на</t>
    </r>
    <r>
      <rPr>
        <sz val="12"/>
        <color indexed="2"/>
        <rFont val="Calibri"/>
        <scheme val="minor"/>
      </rPr>
      <t xml:space="preserve"> </t>
    </r>
    <r>
      <rPr>
        <sz val="12"/>
        <rFont val="Calibri"/>
        <scheme val="minor"/>
      </rPr>
      <t>13</t>
    </r>
    <r>
      <rPr>
        <sz val="12"/>
        <color theme="1"/>
        <rFont val="Calibri"/>
        <scheme val="minor"/>
      </rPr>
      <t>%.</t>
    </r>
  </si>
  <si>
    <t xml:space="preserve">1. Производительность труда (натуральная)</t>
  </si>
  <si>
    <t xml:space="preserve">V / Чсп</t>
  </si>
  <si>
    <t xml:space="preserve">W отч н / W б н</t>
  </si>
  <si>
    <t xml:space="preserve">2. Производительность труда (стоимостная)</t>
  </si>
  <si>
    <t xml:space="preserve">V· Цотп / Чсп</t>
  </si>
  <si>
    <t xml:space="preserve">W отч ст / W б ст</t>
  </si>
  <si>
    <t xml:space="preserve">3. Производительность труда (трудовая)</t>
  </si>
  <si>
    <t xml:space="preserve">V· t / Чсп· 60</t>
  </si>
  <si>
    <t xml:space="preserve">W отч тр / W бтр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</si>
</sst>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00000000"/>
    <numFmt numFmtId="161" formatCode="0.0000"/>
    <numFmt numFmtId="162" formatCode="0.000"/>
  </numFmts>
  <fonts count="5">
    <font>
      <sz val="11.000000"/>
      <color theme="1"/>
      <name val="Calibri"/>
      <scheme val="minor"/>
    </font>
    <font>
      <sz val="11.000000"/>
      <color theme="1"/>
      <name val="Courier New"/>
    </font>
    <font>
      <sz val="14.000000"/>
      <color theme="1"/>
      <name val="Courier New"/>
    </font>
    <font>
      <sz val="11.000000"/>
      <name val="Courier New"/>
    </font>
    <font>
      <sz val="12.000000"/>
      <color theme="1"/>
      <name val="Courier New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/>
      <bottom style="medium">
        <color theme="1"/>
      </bottom>
      <diagonal/>
    </border>
    <border>
      <left style="thin">
        <color auto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medium">
        <color theme="1"/>
      </bottom>
      <diagonal/>
    </border>
    <border>
      <left/>
      <right style="thin">
        <color auto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/>
      <top/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/>
      <top/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auto="1"/>
      </top>
      <bottom style="medium">
        <color theme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121">
    <xf fontId="0" fillId="0" borderId="0" numFmtId="0" xfId="0"/>
    <xf fontId="1" fillId="0" borderId="0" numFmtId="0" xfId="0" applyFont="1" applyAlignment="1">
      <alignment horizontal="center" vertical="center" wrapText="1"/>
    </xf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left" vertical="center" wrapText="1"/>
    </xf>
    <xf fontId="1" fillId="0" borderId="6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1" fillId="0" borderId="7" numFmtId="14" xfId="0" applyNumberFormat="1" applyFont="1" applyBorder="1" applyAlignment="1">
      <alignment horizontal="center" vertical="center" wrapText="1"/>
    </xf>
    <xf fontId="1" fillId="0" borderId="8" numFmtId="14" xfId="0" applyNumberFormat="1" applyFont="1" applyBorder="1" applyAlignment="1">
      <alignment horizontal="center" vertical="center" wrapText="1"/>
    </xf>
    <xf fontId="1" fillId="0" borderId="9" numFmtId="0" xfId="0" applyFont="1" applyBorder="1" applyAlignment="1">
      <alignment horizontal="center" vertical="center" wrapText="1"/>
    </xf>
    <xf fontId="1" fillId="0" borderId="3" numFmtId="14" xfId="0" applyNumberFormat="1" applyFont="1" applyBorder="1" applyAlignment="1">
      <alignment horizontal="center" vertical="center" wrapText="1"/>
    </xf>
    <xf fontId="1" fillId="0" borderId="10" numFmtId="14" xfId="0" applyNumberFormat="1" applyFont="1" applyBorder="1" applyAlignment="1">
      <alignment horizontal="center" vertical="center" wrapText="1"/>
    </xf>
    <xf fontId="1" fillId="0" borderId="8" numFmtId="160" xfId="0" applyNumberFormat="1" applyFont="1" applyBorder="1" applyAlignment="1">
      <alignment horizontal="center" vertical="center" wrapText="1"/>
    </xf>
    <xf fontId="1" fillId="0" borderId="11" numFmtId="0" xfId="0" applyFont="1" applyBorder="1" applyAlignment="1">
      <alignment horizontal="center" vertical="center" wrapText="1"/>
    </xf>
    <xf fontId="1" fillId="0" borderId="12" numFmtId="0" xfId="0" applyFont="1" applyBorder="1" applyAlignment="1">
      <alignment horizontal="center" vertical="center" wrapText="1"/>
    </xf>
    <xf fontId="1" fillId="0" borderId="13" numFmtId="160" xfId="0" applyNumberFormat="1" applyFont="1" applyBorder="1" applyAlignment="1">
      <alignment horizontal="center" vertical="center" wrapText="1"/>
    </xf>
    <xf fontId="1" fillId="2" borderId="0" numFmtId="14" xfId="0" applyNumberFormat="1" applyFont="1" applyFill="1" applyAlignment="1">
      <alignment horizontal="center" vertical="center" wrapText="1"/>
    </xf>
    <xf fontId="1" fillId="0" borderId="12" numFmtId="14" xfId="0" applyNumberFormat="1" applyFont="1" applyBorder="1" applyAlignment="1">
      <alignment horizontal="center" vertical="center" wrapText="1"/>
    </xf>
    <xf fontId="1" fillId="0" borderId="13" numFmtId="14" xfId="0" applyNumberFormat="1" applyFont="1" applyBorder="1" applyAlignment="1">
      <alignment horizontal="center" vertical="center" wrapText="1"/>
    </xf>
    <xf fontId="1" fillId="0" borderId="14" numFmtId="0" xfId="0" applyFont="1" applyBorder="1" applyAlignment="1">
      <alignment horizontal="left" vertical="center" wrapText="1"/>
    </xf>
    <xf fontId="1" fillId="0" borderId="8" numFmtId="0" xfId="0" applyFont="1" applyBorder="1" applyAlignment="1">
      <alignment horizontal="center" vertical="center" wrapText="1"/>
    </xf>
    <xf fontId="1" fillId="0" borderId="10" numFmtId="0" xfId="0" applyFont="1" applyBorder="1" applyAlignment="1">
      <alignment horizontal="center" vertical="center" wrapText="1"/>
    </xf>
    <xf fontId="1" fillId="0" borderId="15" numFmtId="0" xfId="0" applyFont="1" applyBorder="1" applyAlignment="1">
      <alignment horizontal="center" vertical="center" wrapText="1"/>
    </xf>
    <xf fontId="1" fillId="0" borderId="13" numFmtId="0" xfId="0" applyFont="1" applyBorder="1" applyAlignment="1">
      <alignment horizontal="center" vertical="center" wrapText="1"/>
    </xf>
    <xf fontId="1" fillId="0" borderId="16" numFmtId="0" xfId="0" applyFont="1" applyBorder="1" applyAlignment="1">
      <alignment horizontal="center" vertical="center" wrapText="1"/>
    </xf>
    <xf fontId="1" fillId="0" borderId="17" numFmtId="0" xfId="0" applyFont="1" applyBorder="1" applyAlignment="1">
      <alignment horizontal="center" vertical="center" wrapText="1"/>
    </xf>
    <xf fontId="1" fillId="0" borderId="18" numFmtId="0" xfId="0" applyFont="1" applyBorder="1" applyAlignment="1">
      <alignment horizontal="center" vertical="center" wrapText="1"/>
    </xf>
    <xf fontId="2" fillId="0" borderId="12" numFmtId="0" xfId="0" applyFont="1" applyBorder="1" applyAlignment="1">
      <alignment horizontal="center" vertical="center" wrapText="1"/>
    </xf>
    <xf fontId="1" fillId="0" borderId="19" numFmtId="0" xfId="0" applyFont="1" applyBorder="1" applyAlignment="1">
      <alignment horizontal="center" vertical="center" wrapText="1"/>
    </xf>
    <xf fontId="1" fillId="0" borderId="20" numFmtId="0" xfId="0" applyFont="1" applyBorder="1" applyAlignment="1">
      <alignment horizontal="center" vertical="center" wrapText="1"/>
    </xf>
    <xf fontId="1" fillId="0" borderId="8" numFmtId="161" xfId="0" applyNumberFormat="1" applyFont="1" applyBorder="1" applyAlignment="1">
      <alignment horizontal="center" vertical="center" wrapText="1"/>
    </xf>
    <xf fontId="1" fillId="0" borderId="21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 wrapText="1"/>
    </xf>
    <xf fontId="1" fillId="0" borderId="10" numFmtId="161" xfId="0" applyNumberFormat="1" applyFont="1" applyBorder="1" applyAlignment="1">
      <alignment horizontal="center" vertical="center" wrapText="1"/>
    </xf>
    <xf fontId="1" fillId="0" borderId="22" numFmtId="0" xfId="0" applyFont="1" applyBorder="1" applyAlignment="1">
      <alignment horizontal="center" vertical="center" wrapText="1"/>
    </xf>
    <xf fontId="1" fillId="0" borderId="23" numFmtId="0" xfId="0" applyFont="1" applyBorder="1" applyAlignment="1">
      <alignment horizontal="center" vertical="center" wrapText="1"/>
    </xf>
    <xf fontId="1" fillId="0" borderId="24" numFmtId="0" xfId="0" applyFont="1" applyBorder="1" applyAlignment="1">
      <alignment horizontal="center" vertical="center" wrapText="1"/>
    </xf>
    <xf fontId="1" fillId="0" borderId="13" numFmtId="161" xfId="0" applyNumberFormat="1" applyFont="1" applyBorder="1" applyAlignment="1">
      <alignment horizontal="center" vertical="center" wrapText="1"/>
    </xf>
    <xf fontId="1" fillId="0" borderId="25" numFmtId="0" xfId="0" applyFont="1" applyBorder="1" applyAlignment="1">
      <alignment horizontal="center" vertical="center" wrapText="1"/>
    </xf>
    <xf fontId="1" fillId="0" borderId="26" numFmtId="0" xfId="0" applyFont="1" applyBorder="1" applyAlignment="1">
      <alignment horizontal="center" vertical="center" wrapText="1"/>
    </xf>
    <xf fontId="1" fillId="0" borderId="27" numFmtId="0" xfId="0" applyFont="1" applyBorder="1" applyAlignment="1">
      <alignment horizontal="center" vertical="center" wrapText="1"/>
    </xf>
    <xf fontId="1" fillId="0" borderId="28" numFmtId="0" xfId="0" applyFont="1" applyBorder="1" applyAlignment="1">
      <alignment horizontal="center" vertical="center" wrapText="1"/>
    </xf>
    <xf fontId="1" fillId="0" borderId="29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 vertical="center"/>
    </xf>
    <xf fontId="1" fillId="0" borderId="30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left" vertical="center" wrapText="1"/>
    </xf>
    <xf fontId="1" fillId="3" borderId="31" numFmtId="0" xfId="0" applyFont="1" applyFill="1" applyBorder="1" applyAlignment="1">
      <alignment horizontal="center" vertical="center" wrapText="1"/>
    </xf>
    <xf fontId="1" fillId="3" borderId="32" numFmtId="0" xfId="0" applyFont="1" applyFill="1" applyBorder="1" applyAlignment="1">
      <alignment horizontal="center" vertical="center" wrapText="1"/>
    </xf>
    <xf fontId="1" fillId="3" borderId="33" numFmtId="0" xfId="0" applyFont="1" applyFill="1" applyBorder="1" applyAlignment="1">
      <alignment horizontal="center" vertical="center" wrapText="1"/>
    </xf>
    <xf fontId="1" fillId="0" borderId="3" numFmtId="10" xfId="0" applyNumberFormat="1" applyFont="1" applyBorder="1" applyAlignment="1">
      <alignment horizontal="center" vertical="center" wrapText="1"/>
    </xf>
    <xf fontId="1" fillId="0" borderId="3" numFmtId="2" xfId="0" applyNumberFormat="1" applyFont="1" applyBorder="1" applyAlignment="1">
      <alignment horizontal="center" vertical="center" wrapText="1"/>
    </xf>
    <xf fontId="1" fillId="0" borderId="10" numFmtId="2" xfId="0" applyNumberFormat="1" applyFont="1" applyBorder="1" applyAlignment="1">
      <alignment horizontal="center" vertical="center" wrapText="1"/>
    </xf>
    <xf fontId="1" fillId="0" borderId="34" numFmtId="0" xfId="0" applyFont="1" applyBorder="1" applyAlignment="1">
      <alignment horizontal="center" vertical="center" wrapText="1"/>
    </xf>
    <xf fontId="1" fillId="0" borderId="12" numFmtId="10" xfId="0" applyNumberFormat="1" applyFont="1" applyBorder="1" applyAlignment="1">
      <alignment horizontal="center" vertical="center" wrapText="1"/>
    </xf>
    <xf fontId="1" fillId="0" borderId="12" numFmtId="2" xfId="0" applyNumberFormat="1" applyFont="1" applyBorder="1" applyAlignment="1">
      <alignment horizontal="center" vertical="center" wrapText="1"/>
    </xf>
    <xf fontId="1" fillId="0" borderId="13" numFmtId="2" xfId="0" applyNumberFormat="1" applyFont="1" applyBorder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1" fillId="0" borderId="35" numFmtId="0" xfId="0" applyFont="1" applyBorder="1" applyAlignment="1">
      <alignment horizontal="center" vertical="center" wrapText="1"/>
    </xf>
    <xf fontId="1" fillId="0" borderId="36" numFmtId="0" xfId="0" applyFont="1" applyBorder="1" applyAlignment="1">
      <alignment horizontal="center" vertical="center"/>
    </xf>
    <xf fontId="1" fillId="0" borderId="15" numFmtId="10" xfId="0" applyNumberFormat="1" applyFont="1" applyBorder="1" applyAlignment="1">
      <alignment horizontal="center" vertical="center" wrapText="1"/>
    </xf>
    <xf fontId="1" fillId="0" borderId="37" numFmtId="0" xfId="0" applyFont="1" applyBorder="1" applyAlignment="1">
      <alignment horizontal="center" vertical="center"/>
    </xf>
    <xf fontId="1" fillId="0" borderId="19" numFmtId="10" xfId="0" applyNumberFormat="1" applyFont="1" applyBorder="1" applyAlignment="1">
      <alignment horizontal="center" vertical="center" wrapText="1"/>
    </xf>
    <xf fontId="1" fillId="3" borderId="38" numFmtId="0" xfId="0" applyFont="1" applyFill="1" applyBorder="1" applyAlignment="1">
      <alignment horizontal="center" vertical="center"/>
    </xf>
    <xf fontId="1" fillId="3" borderId="39" numFmtId="0" xfId="0" applyFont="1" applyFill="1" applyBorder="1" applyAlignment="1">
      <alignment horizontal="center" vertical="center"/>
    </xf>
    <xf fontId="1" fillId="3" borderId="40" numFmtId="0" xfId="0" applyFont="1" applyFill="1" applyBorder="1" applyAlignment="1">
      <alignment horizontal="center" vertical="center"/>
    </xf>
    <xf fontId="1" fillId="3" borderId="41" numFmtId="0" xfId="0" applyFont="1" applyFill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1" fillId="3" borderId="11" numFmtId="0" xfId="0" applyFont="1" applyFill="1" applyBorder="1" applyAlignment="1">
      <alignment horizontal="center" vertical="center"/>
    </xf>
    <xf fontId="1" fillId="3" borderId="12" numFmtId="0" xfId="0" applyFont="1" applyFill="1" applyBorder="1" applyAlignment="1">
      <alignment horizontal="center" vertical="center"/>
    </xf>
    <xf fontId="1" fillId="3" borderId="13" numFmtId="0" xfId="0" applyFont="1" applyFill="1" applyBorder="1" applyAlignment="1">
      <alignment horizontal="center" vertical="center"/>
    </xf>
    <xf fontId="1" fillId="0" borderId="6" numFmtId="0" xfId="0" applyFont="1" applyBorder="1" applyAlignment="1">
      <alignment horizontal="left" vertical="center"/>
    </xf>
    <xf fontId="1" fillId="0" borderId="7" numFmtId="0" xfId="0" applyFont="1" applyBorder="1" applyAlignment="1">
      <alignment horizontal="center" vertical="center"/>
    </xf>
    <xf fontId="1" fillId="0" borderId="7" numFmtId="2" xfId="0" applyNumberFormat="1" applyFont="1" applyBorder="1" applyAlignment="1">
      <alignment horizontal="right" vertical="center"/>
    </xf>
    <xf fontId="1" fillId="0" borderId="8" numFmtId="2" xfId="0" applyNumberFormat="1" applyFont="1" applyBorder="1" applyAlignment="1">
      <alignment horizontal="right" vertical="center"/>
    </xf>
    <xf fontId="1" fillId="0" borderId="9" numFmtId="0" xfId="0" applyFont="1" applyBorder="1" applyAlignment="1">
      <alignment horizontal="left" vertical="center"/>
    </xf>
    <xf fontId="1" fillId="0" borderId="3" numFmtId="2" xfId="0" applyNumberFormat="1" applyFont="1" applyBorder="1" applyAlignment="1">
      <alignment horizontal="right" vertical="center"/>
    </xf>
    <xf fontId="1" fillId="0" borderId="10" numFmtId="2" xfId="0" applyNumberFormat="1" applyFont="1" applyBorder="1" applyAlignment="1">
      <alignment horizontal="right" vertical="center"/>
    </xf>
    <xf fontId="1" fillId="0" borderId="42" numFmtId="2" xfId="0" applyNumberFormat="1" applyFont="1" applyBorder="1" applyAlignment="1">
      <alignment horizontal="right" vertical="center"/>
    </xf>
    <xf fontId="1" fillId="0" borderId="11" numFmtId="0" xfId="0" applyFont="1" applyBorder="1" applyAlignment="1">
      <alignment horizontal="left" vertical="center"/>
    </xf>
    <xf fontId="1" fillId="0" borderId="12" numFmtId="0" xfId="0" applyFont="1" applyBorder="1" applyAlignment="1">
      <alignment horizontal="center" vertical="center"/>
    </xf>
    <xf fontId="1" fillId="0" borderId="12" numFmtId="2" xfId="0" applyNumberFormat="1" applyFont="1" applyBorder="1" applyAlignment="1">
      <alignment horizontal="right" vertical="center"/>
    </xf>
    <xf fontId="1" fillId="0" borderId="13" numFmtId="2" xfId="0" applyNumberFormat="1" applyFont="1" applyBorder="1" applyAlignment="1">
      <alignment horizontal="right" vertical="center"/>
    </xf>
    <xf fontId="1" fillId="3" borderId="43" numFmtId="0" xfId="0" applyFont="1" applyFill="1" applyBorder="1" applyAlignment="1">
      <alignment horizontal="center" vertical="center"/>
    </xf>
    <xf fontId="1" fillId="0" borderId="0" numFmtId="162" xfId="0" applyNumberFormat="1" applyFont="1" applyAlignment="1">
      <alignment horizontal="center" vertical="center"/>
    </xf>
    <xf fontId="4" fillId="0" borderId="44" numFmtId="0" xfId="0" applyFont="1" applyBorder="1" applyAlignment="1">
      <alignment horizontal="center" vertical="center" wrapText="1"/>
    </xf>
    <xf fontId="4" fillId="0" borderId="45" numFmtId="0" xfId="0" applyFont="1" applyBorder="1" applyAlignment="1">
      <alignment horizontal="center" vertical="center" wrapText="1"/>
    </xf>
    <xf fontId="1" fillId="3" borderId="44" numFmtId="0" xfId="0" applyFont="1" applyFill="1" applyBorder="1" applyAlignment="1">
      <alignment horizontal="center" vertical="center" wrapText="1"/>
    </xf>
    <xf fontId="1" fillId="3" borderId="46" numFmtId="0" xfId="0" applyFont="1" applyFill="1" applyBorder="1" applyAlignment="1">
      <alignment horizontal="center" vertical="center" wrapText="1"/>
    </xf>
    <xf fontId="1" fillId="3" borderId="45" numFmtId="0" xfId="0" applyFont="1" applyFill="1" applyBorder="1" applyAlignment="1">
      <alignment horizontal="center" vertical="center" wrapText="1"/>
    </xf>
    <xf fontId="1" fillId="0" borderId="20" numFmtId="0" xfId="0" applyFont="1" applyBorder="1" applyAlignment="1">
      <alignment horizontal="left" vertical="center" wrapText="1"/>
    </xf>
    <xf fontId="1" fillId="0" borderId="47" numFmtId="0" xfId="0" applyFont="1" applyBorder="1" applyAlignment="1">
      <alignment horizontal="center" vertical="center" wrapText="1"/>
    </xf>
    <xf fontId="1" fillId="0" borderId="6" numFmtId="0" xfId="0" applyFont="1" applyBorder="1" applyAlignment="1">
      <alignment horizontal="left" vertical="center" wrapText="1"/>
    </xf>
    <xf fontId="1" fillId="0" borderId="21" numFmtId="0" xfId="0" applyFont="1" applyBorder="1" applyAlignment="1">
      <alignment horizontal="left" vertical="center" wrapText="1"/>
    </xf>
    <xf fontId="1" fillId="0" borderId="48" numFmtId="0" xfId="0" applyFont="1" applyBorder="1" applyAlignment="1">
      <alignment horizontal="center" vertical="center" wrapText="1"/>
    </xf>
    <xf fontId="1" fillId="0" borderId="9" numFmtId="0" xfId="0" applyFont="1" applyBorder="1" applyAlignment="1">
      <alignment horizontal="left" vertical="center" wrapText="1"/>
    </xf>
    <xf fontId="1" fillId="0" borderId="11" numFmtId="0" xfId="0" applyFont="1" applyBorder="1" applyAlignment="1">
      <alignment horizontal="left" vertical="center" wrapText="1"/>
    </xf>
    <xf fontId="1" fillId="0" borderId="8" numFmtId="2" xfId="0" applyNumberFormat="1" applyFont="1" applyBorder="1" applyAlignment="1">
      <alignment horizontal="right" vertical="center" wrapText="1"/>
    </xf>
    <xf fontId="1" fillId="0" borderId="10" numFmtId="2" xfId="0" applyNumberFormat="1" applyFont="1" applyBorder="1" applyAlignment="1">
      <alignment horizontal="right" vertical="center" wrapText="1"/>
    </xf>
    <xf fontId="1" fillId="0" borderId="34" numFmtId="0" xfId="0" applyFont="1" applyBorder="1" applyAlignment="1">
      <alignment horizontal="left" vertical="center" wrapText="1"/>
    </xf>
    <xf fontId="1" fillId="0" borderId="49" numFmtId="0" xfId="0" applyFont="1" applyBorder="1" applyAlignment="1">
      <alignment horizontal="center" vertical="center" wrapText="1"/>
    </xf>
    <xf fontId="1" fillId="0" borderId="13" numFmtId="2" xfId="0" applyNumberFormat="1" applyFont="1" applyBorder="1" applyAlignment="1">
      <alignment horizontal="right" vertical="center" wrapText="1"/>
    </xf>
    <xf fontId="1" fillId="0" borderId="8" numFmtId="2" xfId="0" applyNumberFormat="1" applyFont="1" applyBorder="1" applyAlignment="1">
      <alignment horizontal="center" vertical="center" wrapText="1"/>
    </xf>
    <xf fontId="1" fillId="3" borderId="38" numFmtId="0" xfId="0" applyFont="1" applyFill="1" applyBorder="1" applyAlignment="1">
      <alignment horizontal="center" vertical="center" wrapText="1"/>
    </xf>
    <xf fontId="1" fillId="3" borderId="39" numFmtId="0" xfId="0" applyFont="1" applyFill="1" applyBorder="1" applyAlignment="1">
      <alignment horizontal="center" vertical="center" wrapText="1"/>
    </xf>
    <xf fontId="1" fillId="3" borderId="43" numFmtId="0" xfId="0" applyFont="1" applyFill="1" applyBorder="1" applyAlignment="1">
      <alignment horizontal="center" vertical="center" wrapText="1"/>
    </xf>
    <xf fontId="1" fillId="3" borderId="11" numFmtId="0" xfId="0" applyFont="1" applyFill="1" applyBorder="1" applyAlignment="1">
      <alignment horizontal="center" vertical="center" wrapText="1"/>
    </xf>
    <xf fontId="1" fillId="3" borderId="12" numFmtId="0" xfId="0" applyFont="1" applyFill="1" applyBorder="1" applyAlignment="1">
      <alignment horizontal="center" vertical="center" wrapText="1"/>
    </xf>
    <xf fontId="1" fillId="3" borderId="13" numFmtId="0" xfId="0" applyFont="1" applyFill="1" applyBorder="1" applyAlignment="1">
      <alignment horizontal="center" vertical="center" wrapText="1"/>
    </xf>
    <xf fontId="4" fillId="0" borderId="38" numFmtId="0" xfId="0" applyFont="1" applyBorder="1" applyAlignment="1">
      <alignment horizontal="center" vertical="center" wrapText="1"/>
    </xf>
    <xf fontId="4" fillId="0" borderId="39" numFmtId="0" xfId="0" applyFont="1" applyBorder="1" applyAlignment="1">
      <alignment horizontal="center" vertical="center" wrapText="1"/>
    </xf>
    <xf fontId="4" fillId="0" borderId="43" numFmtId="0" xfId="0" applyFont="1" applyBorder="1" applyAlignment="1">
      <alignment horizontal="center" vertical="center" wrapText="1"/>
    </xf>
    <xf fontId="1" fillId="0" borderId="7" numFmtId="2" xfId="0" applyNumberFormat="1" applyFont="1" applyBorder="1" applyAlignment="1">
      <alignment horizontal="center" vertical="center" wrapText="1"/>
    </xf>
    <xf fontId="4" fillId="0" borderId="9" numFmtId="0" xfId="0" applyFont="1" applyBorder="1" applyAlignment="1">
      <alignment horizontal="center" vertical="center" wrapText="1"/>
    </xf>
    <xf fontId="4" fillId="0" borderId="3" numFmtId="0" xfId="0" applyFont="1" applyBorder="1" applyAlignment="1">
      <alignment horizontal="center" vertical="center" wrapText="1"/>
    </xf>
    <xf fontId="4" fillId="0" borderId="10" numFmtId="0" xfId="0" applyFont="1" applyBorder="1" applyAlignment="1">
      <alignment horizontal="center" vertical="center" wrapText="1"/>
    </xf>
    <xf fontId="4" fillId="0" borderId="11" numFmtId="0" xfId="0" applyFont="1" applyBorder="1" applyAlignment="1">
      <alignment horizontal="center" vertical="center" wrapText="1"/>
    </xf>
    <xf fontId="4" fillId="0" borderId="12" numFmtId="0" xfId="0" applyFont="1" applyBorder="1" applyAlignment="1">
      <alignment horizontal="center" vertical="center" wrapText="1"/>
    </xf>
    <xf fontId="4" fillId="0" borderId="13" numFmt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38" zoomScale="90" workbookViewId="0">
      <selection activeCell="G53" activeCellId="0" sqref="G53:I55"/>
    </sheetView>
  </sheetViews>
  <sheetFormatPr defaultColWidth="9.109375" defaultRowHeight="14.25"/>
  <cols>
    <col bestFit="1" customWidth="1" min="1" max="1" style="1" width="52.25390625"/>
    <col bestFit="1" customWidth="1" min="2" max="2" style="1" width="30.8828125"/>
    <col bestFit="1" customWidth="1" min="3" max="3" style="1" width="14.54296875"/>
    <col bestFit="1" customWidth="1" min="4" max="4" style="1" width="17.05078125"/>
    <col bestFit="1" customWidth="1" min="5" max="5" style="1" width="24.6015625"/>
    <col bestFit="1" customWidth="1" min="6" max="6" style="1" width="14.54296875"/>
    <col bestFit="1" customWidth="1" min="7" max="7" style="1" width="17.05078125"/>
    <col bestFit="1" customWidth="1" min="8" max="9" style="1" width="47.22265625"/>
    <col bestFit="1" customWidth="1" min="10" max="11" style="1" width="14.54296875"/>
    <col bestFit="1" customWidth="1" min="12" max="12" style="1" width="13.28125"/>
    <col bestFit="1" min="13" max="13" style="1" width="1.97265625"/>
    <col min="14" max="16384" style="1" width="9.109375"/>
  </cols>
  <sheetData>
    <row r="2" ht="14.4" customHeight="1">
      <c r="A2" s="2" t="s">
        <v>0</v>
      </c>
      <c r="B2" s="3" t="s">
        <v>1</v>
      </c>
      <c r="C2" s="3"/>
      <c r="D2" s="3"/>
      <c r="E2" s="3"/>
      <c r="F2" s="3"/>
      <c r="H2" s="3" t="s">
        <v>2</v>
      </c>
      <c r="I2" s="3" t="s">
        <v>3</v>
      </c>
      <c r="L2" s="4" t="s">
        <v>4</v>
      </c>
      <c r="M2" s="4">
        <v>4</v>
      </c>
    </row>
    <row r="3" ht="14.4" customHeight="1">
      <c r="A3" s="2"/>
      <c r="B3" s="3" t="s">
        <v>5</v>
      </c>
      <c r="C3" s="3" t="s">
        <v>6</v>
      </c>
      <c r="D3" s="3"/>
      <c r="E3" s="3" t="s">
        <v>7</v>
      </c>
      <c r="F3" s="3"/>
      <c r="H3" s="5" t="s">
        <v>8</v>
      </c>
      <c r="I3" s="6" t="s">
        <v>9</v>
      </c>
    </row>
    <row r="4" ht="14.4" customHeight="1">
      <c r="A4" s="2"/>
      <c r="B4" s="3"/>
      <c r="C4" s="3" t="s">
        <v>10</v>
      </c>
      <c r="D4" s="3" t="s">
        <v>11</v>
      </c>
      <c r="E4" s="3" t="s">
        <v>10</v>
      </c>
      <c r="F4" s="3" t="s">
        <v>11</v>
      </c>
    </row>
    <row r="5" ht="14.4" customHeight="1">
      <c r="A5" s="7" t="s">
        <v>12</v>
      </c>
      <c r="B5" s="8">
        <f>785+5*$M$2</f>
        <v>805</v>
      </c>
      <c r="C5" s="9">
        <f>10+$M$2</f>
        <v>14</v>
      </c>
      <c r="D5" s="10">
        <v>44621</v>
      </c>
      <c r="E5" s="9">
        <f>25-$M$2</f>
        <v>21</v>
      </c>
      <c r="F5" s="11">
        <v>44841</v>
      </c>
    </row>
    <row r="6" ht="14.4" customHeight="1">
      <c r="A6" s="7" t="s">
        <v>13</v>
      </c>
      <c r="B6" s="12">
        <f>235-2*$M$2</f>
        <v>227</v>
      </c>
      <c r="C6" s="4">
        <f>50-$M$2</f>
        <v>46</v>
      </c>
      <c r="D6" s="13">
        <v>44591</v>
      </c>
      <c r="E6" s="4" t="s">
        <v>14</v>
      </c>
      <c r="F6" s="14" t="s">
        <v>14</v>
      </c>
      <c r="H6" s="3" t="s">
        <v>15</v>
      </c>
      <c r="I6" s="3" t="s">
        <v>16</v>
      </c>
      <c r="J6" s="3"/>
      <c r="K6" s="3" t="s">
        <v>17</v>
      </c>
    </row>
    <row r="7" ht="14.4" customHeight="1">
      <c r="A7" s="7" t="s">
        <v>18</v>
      </c>
      <c r="B7" s="12">
        <f>310+7*$M$2</f>
        <v>338</v>
      </c>
      <c r="C7" s="4">
        <f>45-$M$2</f>
        <v>41</v>
      </c>
      <c r="D7" s="13">
        <v>44676</v>
      </c>
      <c r="E7" s="4">
        <f>20+$M$2</f>
        <v>24</v>
      </c>
      <c r="F7" s="14">
        <v>44891</v>
      </c>
      <c r="H7" s="3"/>
      <c r="I7" s="3" t="s">
        <v>19</v>
      </c>
      <c r="J7" s="3" t="s">
        <v>20</v>
      </c>
      <c r="K7" s="3"/>
    </row>
    <row r="8" ht="14.4" customHeight="1">
      <c r="A8" s="7" t="s">
        <v>21</v>
      </c>
      <c r="B8" s="12">
        <f>595+10*$M$2</f>
        <v>635</v>
      </c>
      <c r="C8" s="4">
        <f>15+$M$2</f>
        <v>19</v>
      </c>
      <c r="D8" s="13">
        <v>44625</v>
      </c>
      <c r="E8" s="4">
        <f>33-$M$2</f>
        <v>29</v>
      </c>
      <c r="F8" s="14">
        <v>44596</v>
      </c>
      <c r="H8" s="8" t="s">
        <v>22</v>
      </c>
      <c r="I8" s="9">
        <v>15220</v>
      </c>
      <c r="J8" s="9">
        <v>16500</v>
      </c>
      <c r="K8" s="15">
        <f t="shared" ref="K8:K9" si="0">J8/I8</f>
        <v>1.0840998685939554</v>
      </c>
    </row>
    <row r="9" ht="14.4" customHeight="1">
      <c r="A9" s="7"/>
      <c r="B9" s="12"/>
      <c r="C9" s="4">
        <f>70+$M$2</f>
        <v>74</v>
      </c>
      <c r="D9" s="13">
        <v>44784</v>
      </c>
      <c r="E9" s="4">
        <f>10+$M$2</f>
        <v>14</v>
      </c>
      <c r="F9" s="14">
        <v>44713</v>
      </c>
      <c r="H9" s="16" t="s">
        <v>23</v>
      </c>
      <c r="I9" s="17">
        <v>150</v>
      </c>
      <c r="J9" s="17">
        <v>158</v>
      </c>
      <c r="K9" s="18">
        <f t="shared" si="0"/>
        <v>1.0533333333333332</v>
      </c>
    </row>
    <row r="10" ht="14.4" customHeight="1">
      <c r="A10" s="7"/>
      <c r="B10" s="12"/>
      <c r="C10" s="4">
        <f>65-$M$2</f>
        <v>61</v>
      </c>
      <c r="D10" s="13">
        <v>44835</v>
      </c>
      <c r="E10" s="4" t="s">
        <v>14</v>
      </c>
      <c r="F10" s="14" t="s">
        <v>14</v>
      </c>
    </row>
    <row r="11" ht="14.4" customHeight="1">
      <c r="A11" s="7" t="s">
        <v>24</v>
      </c>
      <c r="B11" s="12">
        <f>380-$M$2</f>
        <v>376</v>
      </c>
      <c r="C11" s="4">
        <f>14+$M$2</f>
        <v>18</v>
      </c>
      <c r="D11" s="13">
        <v>44744</v>
      </c>
      <c r="E11" s="4">
        <f>7+$M$2</f>
        <v>11</v>
      </c>
      <c r="F11" s="14">
        <v>44623</v>
      </c>
      <c r="L11" s="19">
        <v>44926</v>
      </c>
    </row>
    <row r="12" ht="14.4" customHeight="1">
      <c r="A12" s="7" t="s">
        <v>25</v>
      </c>
      <c r="B12" s="12">
        <f>195+$M$2</f>
        <v>199</v>
      </c>
      <c r="C12" s="4">
        <f>34-$M$2</f>
        <v>30</v>
      </c>
      <c r="D12" s="13">
        <v>44814</v>
      </c>
      <c r="E12" s="4" t="s">
        <v>14</v>
      </c>
      <c r="F12" s="14" t="s">
        <v>14</v>
      </c>
    </row>
    <row r="13" ht="14.4" customHeight="1">
      <c r="A13" s="7" t="s">
        <v>26</v>
      </c>
      <c r="B13" s="12">
        <f>225+4*$M$2</f>
        <v>241</v>
      </c>
      <c r="C13" s="4">
        <f>49+$M$2</f>
        <v>53</v>
      </c>
      <c r="D13" s="13">
        <v>44660</v>
      </c>
      <c r="E13" s="4" t="s">
        <v>14</v>
      </c>
      <c r="F13" s="14" t="s">
        <v>14</v>
      </c>
    </row>
    <row r="14" ht="14.4" customHeight="1">
      <c r="A14" s="7" t="s">
        <v>27</v>
      </c>
      <c r="B14" s="16">
        <f>170+3*$M$2</f>
        <v>182</v>
      </c>
      <c r="C14" s="17">
        <f>23+$M$2</f>
        <v>27</v>
      </c>
      <c r="D14" s="20">
        <v>44718</v>
      </c>
      <c r="E14" s="17">
        <f>20-$M$2</f>
        <v>16</v>
      </c>
      <c r="F14" s="21">
        <v>44838</v>
      </c>
    </row>
    <row r="17" ht="14.4" customHeight="1">
      <c r="A17" s="2" t="s">
        <v>28</v>
      </c>
      <c r="B17" s="3" t="s">
        <v>1</v>
      </c>
      <c r="C17" s="3"/>
      <c r="D17" s="3"/>
      <c r="E17" s="3"/>
      <c r="F17" s="3" t="s">
        <v>29</v>
      </c>
      <c r="G17" s="3"/>
      <c r="H17" s="3"/>
    </row>
    <row r="18" ht="14.4" customHeight="1">
      <c r="A18" s="2"/>
      <c r="B18" s="3" t="s">
        <v>30</v>
      </c>
      <c r="C18" s="3" t="s">
        <v>6</v>
      </c>
      <c r="D18" s="3" t="s">
        <v>31</v>
      </c>
      <c r="E18" s="3" t="s">
        <v>32</v>
      </c>
      <c r="F18" s="3" t="s">
        <v>33</v>
      </c>
      <c r="G18" s="3" t="s">
        <v>34</v>
      </c>
      <c r="H18" s="3" t="s">
        <v>35</v>
      </c>
    </row>
    <row r="19" ht="14.4" customHeight="1">
      <c r="A19" s="22" t="s">
        <v>12</v>
      </c>
      <c r="B19" s="8">
        <f>785+5*$M$2</f>
        <v>805</v>
      </c>
      <c r="C19" s="9">
        <f>10+$M$2</f>
        <v>14</v>
      </c>
      <c r="D19" s="9">
        <f>25-$M$2</f>
        <v>21</v>
      </c>
      <c r="E19" s="9">
        <f>B19+C19-D19</f>
        <v>798</v>
      </c>
      <c r="F19" s="9">
        <f t="shared" ref="F19:F22" si="1">B19/SUM($B$19:$B$28)*100</f>
        <v>26.806526806526808</v>
      </c>
      <c r="G19" s="9">
        <f t="shared" ref="G19:G28" si="2">E19/SUM($E$19:$E$28)*100</f>
        <v>24.396209110363802</v>
      </c>
      <c r="H19" s="23">
        <f t="shared" ref="H19:H28" si="3">G19-F19</f>
        <v>-2.4103176961630055</v>
      </c>
    </row>
    <row r="20" ht="14.4" customHeight="1">
      <c r="A20" s="7" t="s">
        <v>13</v>
      </c>
      <c r="B20" s="12">
        <f>235-2*$M$2</f>
        <v>227</v>
      </c>
      <c r="C20" s="4">
        <f>50-$M$2</f>
        <v>46</v>
      </c>
      <c r="D20" s="4" t="s">
        <v>14</v>
      </c>
      <c r="E20" s="4">
        <f>B20+C20</f>
        <v>273</v>
      </c>
      <c r="F20" s="4">
        <f t="shared" si="1"/>
        <v>7.5591075591075585</v>
      </c>
      <c r="G20" s="4">
        <f t="shared" si="2"/>
        <v>8.3460715377560373</v>
      </c>
      <c r="H20" s="24">
        <f t="shared" si="3"/>
        <v>0.78696397864847878</v>
      </c>
    </row>
    <row r="21" ht="14.4" customHeight="1">
      <c r="A21" s="7" t="s">
        <v>18</v>
      </c>
      <c r="B21" s="12">
        <f>310+7*$M$2</f>
        <v>338</v>
      </c>
      <c r="C21" s="4">
        <f>45-$M$2</f>
        <v>41</v>
      </c>
      <c r="D21" s="4">
        <f>20+$M$2</f>
        <v>24</v>
      </c>
      <c r="E21" s="4">
        <f t="shared" ref="E21:E28" si="4">B21+C21-D21</f>
        <v>355</v>
      </c>
      <c r="F21" s="4">
        <f t="shared" si="1"/>
        <v>11.255411255411255</v>
      </c>
      <c r="G21" s="4">
        <f t="shared" si="2"/>
        <v>10.852950168144298</v>
      </c>
      <c r="H21" s="24">
        <f t="shared" si="3"/>
        <v>-0.40246108726695695</v>
      </c>
    </row>
    <row r="22" ht="14.4" customHeight="1">
      <c r="A22" s="7" t="s">
        <v>21</v>
      </c>
      <c r="B22" s="12">
        <f>595+10*$M$2</f>
        <v>635</v>
      </c>
      <c r="C22" s="4">
        <f>15+$M$2</f>
        <v>19</v>
      </c>
      <c r="D22" s="4">
        <f>33-$M$2</f>
        <v>29</v>
      </c>
      <c r="E22" s="4">
        <f t="shared" si="4"/>
        <v>625</v>
      </c>
      <c r="F22" s="4">
        <f t="shared" si="1"/>
        <v>21.145521145521144</v>
      </c>
      <c r="G22" s="4">
        <f t="shared" si="2"/>
        <v>19.107306634056865</v>
      </c>
      <c r="H22" s="24">
        <f t="shared" si="3"/>
        <v>-2.0382145114642789</v>
      </c>
    </row>
    <row r="23" ht="14.4" customHeight="1">
      <c r="A23" s="7"/>
      <c r="B23" s="12"/>
      <c r="C23" s="4">
        <f>70+$M$2</f>
        <v>74</v>
      </c>
      <c r="D23" s="4">
        <f>10+$M$2</f>
        <v>14</v>
      </c>
      <c r="E23" s="4">
        <f t="shared" si="4"/>
        <v>60</v>
      </c>
      <c r="F23" s="4">
        <f>B22/SUM($B$19:$B$28)*100</f>
        <v>21.145521145521144</v>
      </c>
      <c r="G23" s="4">
        <f t="shared" si="2"/>
        <v>1.834301436869459</v>
      </c>
      <c r="H23" s="24">
        <f t="shared" si="3"/>
        <v>-19.311219708651684</v>
      </c>
    </row>
    <row r="24" ht="14.4" customHeight="1">
      <c r="A24" s="7"/>
      <c r="B24" s="12"/>
      <c r="C24" s="4">
        <f>65-$M$2</f>
        <v>61</v>
      </c>
      <c r="D24" s="4" t="s">
        <v>14</v>
      </c>
      <c r="E24" s="4">
        <f>B24+C24</f>
        <v>61</v>
      </c>
      <c r="F24" s="4">
        <f>B22/SUM($B$19:$B$28)*100</f>
        <v>21.145521145521144</v>
      </c>
      <c r="G24" s="4">
        <f t="shared" si="2"/>
        <v>1.8648731274839501</v>
      </c>
      <c r="H24" s="24">
        <f t="shared" si="3"/>
        <v>-19.280648018037194</v>
      </c>
    </row>
    <row r="25" ht="14.4" customHeight="1">
      <c r="A25" s="7" t="s">
        <v>24</v>
      </c>
      <c r="B25" s="12">
        <f>380-$M$2</f>
        <v>376</v>
      </c>
      <c r="C25" s="4">
        <f>14+$M$2</f>
        <v>18</v>
      </c>
      <c r="D25" s="4">
        <f>7+$M$2</f>
        <v>11</v>
      </c>
      <c r="E25" s="4">
        <f t="shared" si="4"/>
        <v>383</v>
      </c>
      <c r="F25" s="4">
        <f t="shared" ref="F25:F28" si="5">B25/SUM($B$19:$B$28)*100</f>
        <v>12.520812520812521</v>
      </c>
      <c r="G25" s="4">
        <f t="shared" si="2"/>
        <v>11.708957505350046</v>
      </c>
      <c r="H25" s="24">
        <f t="shared" si="3"/>
        <v>-0.81185501546247529</v>
      </c>
      <c r="J25" s="1" t="s">
        <v>36</v>
      </c>
    </row>
    <row r="26" ht="14.4" customHeight="1">
      <c r="A26" s="7" t="s">
        <v>25</v>
      </c>
      <c r="B26" s="12">
        <f>195+$M$2</f>
        <v>199</v>
      </c>
      <c r="C26" s="4">
        <f>34-$M$2</f>
        <v>30</v>
      </c>
      <c r="D26" s="4" t="s">
        <v>14</v>
      </c>
      <c r="E26" s="4">
        <f t="shared" ref="E26:E27" si="6">B26+C26</f>
        <v>229</v>
      </c>
      <c r="F26" s="4">
        <f t="shared" si="5"/>
        <v>6.6267066267066275</v>
      </c>
      <c r="G26" s="4">
        <f t="shared" si="2"/>
        <v>7.0009171507184345</v>
      </c>
      <c r="H26" s="24">
        <f t="shared" si="3"/>
        <v>0.37421052401180699</v>
      </c>
    </row>
    <row r="27" ht="14.4" customHeight="1">
      <c r="A27" s="7" t="s">
        <v>26</v>
      </c>
      <c r="B27" s="12">
        <f>225+4*$M$2</f>
        <v>241</v>
      </c>
      <c r="C27" s="4">
        <f>49+$M$2</f>
        <v>53</v>
      </c>
      <c r="D27" s="4" t="s">
        <v>14</v>
      </c>
      <c r="E27" s="4">
        <f t="shared" si="6"/>
        <v>294</v>
      </c>
      <c r="F27" s="4">
        <f t="shared" si="5"/>
        <v>8.0253080253080249</v>
      </c>
      <c r="G27" s="4">
        <f t="shared" si="2"/>
        <v>8.9880770406603485</v>
      </c>
      <c r="H27" s="24">
        <f t="shared" si="3"/>
        <v>0.96276901535232362</v>
      </c>
    </row>
    <row r="28" ht="14.4" customHeight="1">
      <c r="A28" s="7" t="s">
        <v>27</v>
      </c>
      <c r="B28" s="12">
        <f>170+3*$M$2</f>
        <v>182</v>
      </c>
      <c r="C28" s="4">
        <f>23+$M$2</f>
        <v>27</v>
      </c>
      <c r="D28" s="4">
        <f>20-$M$2</f>
        <v>16</v>
      </c>
      <c r="E28" s="4">
        <f t="shared" si="4"/>
        <v>193</v>
      </c>
      <c r="F28" s="4">
        <f t="shared" si="5"/>
        <v>6.0606060606060606</v>
      </c>
      <c r="G28" s="4">
        <f t="shared" si="2"/>
        <v>5.9003362885967592</v>
      </c>
      <c r="H28" s="24">
        <f t="shared" si="3"/>
        <v>-0.16026977200930137</v>
      </c>
      <c r="I28" s="25" t="s">
        <v>37</v>
      </c>
      <c r="J28" s="4">
        <f>C29/E29</f>
        <v>0.11708957505350046</v>
      </c>
    </row>
    <row r="29" ht="14.4" customHeight="1">
      <c r="A29" s="7" t="s">
        <v>38</v>
      </c>
      <c r="B29" s="16">
        <f>SUM(B19:B28)</f>
        <v>3003</v>
      </c>
      <c r="C29" s="17">
        <f>SUM(C19:C28)</f>
        <v>383</v>
      </c>
      <c r="D29" s="17">
        <f>SUM(D19:D28)</f>
        <v>115</v>
      </c>
      <c r="E29" s="17">
        <f>SUM(E19:E28)</f>
        <v>3271</v>
      </c>
      <c r="F29" s="17" t="s">
        <v>14</v>
      </c>
      <c r="G29" s="17" t="s">
        <v>14</v>
      </c>
      <c r="H29" s="26" t="s">
        <v>14</v>
      </c>
      <c r="I29" s="25" t="s">
        <v>39</v>
      </c>
      <c r="J29" s="4">
        <f>D29/B29</f>
        <v>3.8295038295038296e-002</v>
      </c>
    </row>
    <row r="30" ht="14.4" customHeight="1"/>
    <row r="31" ht="14.4" customHeight="1"/>
    <row r="32" ht="14.4" customHeight="1">
      <c r="A32" s="2" t="s">
        <v>0</v>
      </c>
      <c r="B32" s="3" t="s">
        <v>40</v>
      </c>
      <c r="C32" s="3" t="s">
        <v>41</v>
      </c>
      <c r="D32" s="3"/>
      <c r="E32" s="3"/>
      <c r="F32" s="3" t="s">
        <v>42</v>
      </c>
      <c r="G32" s="3"/>
      <c r="H32" s="3"/>
      <c r="I32" s="3" t="s">
        <v>43</v>
      </c>
    </row>
    <row r="33" ht="14.4" customHeight="1">
      <c r="A33" s="2"/>
      <c r="B33" s="3"/>
      <c r="C33" s="3" t="s">
        <v>44</v>
      </c>
      <c r="D33" s="3" t="s">
        <v>45</v>
      </c>
      <c r="E33" s="3" t="s">
        <v>46</v>
      </c>
      <c r="F33" s="3" t="s">
        <v>47</v>
      </c>
      <c r="G33" s="3" t="s">
        <v>45</v>
      </c>
      <c r="H33" s="3" t="s">
        <v>46</v>
      </c>
      <c r="I33" s="3"/>
    </row>
    <row r="34" ht="14.4" customHeight="1">
      <c r="A34" s="22" t="s">
        <v>12</v>
      </c>
      <c r="B34" s="8">
        <f>785+5*$M$2</f>
        <v>805</v>
      </c>
      <c r="C34" s="9">
        <f>10+$M$2</f>
        <v>14</v>
      </c>
      <c r="D34" s="9">
        <f>MONTH($L$11) -MONTH(D5)+1</f>
        <v>10</v>
      </c>
      <c r="E34" s="27">
        <f t="shared" ref="E34:E43" si="7">C34*D34/12</f>
        <v>11.666666666666666</v>
      </c>
      <c r="F34" s="9">
        <f>25-$M$2</f>
        <v>21</v>
      </c>
      <c r="G34" s="9">
        <f>MONTH($L$11)-MONTH(F5)+1</f>
        <v>3</v>
      </c>
      <c r="H34" s="27">
        <f>F34*G34/12</f>
        <v>5.25</v>
      </c>
      <c r="I34" s="23">
        <f>B34+E34-H34</f>
        <v>811.41666666666663</v>
      </c>
    </row>
    <row r="35" ht="14.4" customHeight="1">
      <c r="A35" s="7" t="s">
        <v>13</v>
      </c>
      <c r="B35" s="12">
        <f>235-2*$M$2</f>
        <v>227</v>
      </c>
      <c r="C35" s="4">
        <f>50-$M$2</f>
        <v>46</v>
      </c>
      <c r="D35" s="4">
        <f t="shared" ref="D35:D36" si="8">MONTH($L$11) -MONTH(D6)</f>
        <v>11</v>
      </c>
      <c r="E35" s="25">
        <f t="shared" si="7"/>
        <v>42.166666666666664</v>
      </c>
      <c r="F35" s="4" t="s">
        <v>14</v>
      </c>
      <c r="G35" s="4" t="s">
        <v>14</v>
      </c>
      <c r="H35" s="25" t="s">
        <v>14</v>
      </c>
      <c r="I35" s="24">
        <f>B35+E35</f>
        <v>269.16666666666669</v>
      </c>
    </row>
    <row r="36" ht="14.4" customHeight="1">
      <c r="A36" s="7" t="s">
        <v>18</v>
      </c>
      <c r="B36" s="12">
        <f>310+7*$M$2</f>
        <v>338</v>
      </c>
      <c r="C36" s="4">
        <f>45-$M$2</f>
        <v>41</v>
      </c>
      <c r="D36" s="4">
        <f t="shared" si="8"/>
        <v>8</v>
      </c>
      <c r="E36" s="25">
        <f t="shared" si="7"/>
        <v>27.333333333333332</v>
      </c>
      <c r="F36" s="4">
        <f>20+$M$2</f>
        <v>24</v>
      </c>
      <c r="G36" s="4">
        <f>MONTH($L$11)-MONTH(F7)</f>
        <v>1</v>
      </c>
      <c r="H36" s="25">
        <f t="shared" ref="H36:H43" si="9">F36*G36/12</f>
        <v>2</v>
      </c>
      <c r="I36" s="24">
        <f t="shared" ref="I36:I43" si="10">B36+E36-H36</f>
        <v>363.33333333333331</v>
      </c>
    </row>
    <row r="37" ht="14.4" customHeight="1">
      <c r="A37" s="7" t="s">
        <v>21</v>
      </c>
      <c r="B37" s="12">
        <f>595+10*$M$2</f>
        <v>635</v>
      </c>
      <c r="C37" s="4">
        <f>15+$M$2</f>
        <v>19</v>
      </c>
      <c r="D37" s="4">
        <f t="shared" ref="D37:D43" si="11">MONTH($L$11) -MONTH(D8)+1</f>
        <v>10</v>
      </c>
      <c r="E37" s="25">
        <f t="shared" si="7"/>
        <v>15.833333333333334</v>
      </c>
      <c r="F37" s="4">
        <f>33-$M$2</f>
        <v>29</v>
      </c>
      <c r="G37" s="4">
        <f t="shared" ref="G37:G38" si="12">MONTH($L$11)-MONTH(F8)+1</f>
        <v>11</v>
      </c>
      <c r="H37" s="25">
        <f t="shared" si="9"/>
        <v>26.583333333333332</v>
      </c>
      <c r="I37" s="24">
        <f t="shared" si="10"/>
        <v>624.25</v>
      </c>
    </row>
    <row r="38" ht="14.4" customHeight="1">
      <c r="A38" s="7"/>
      <c r="B38" s="12"/>
      <c r="C38" s="4">
        <f>70+$M$2</f>
        <v>74</v>
      </c>
      <c r="D38" s="4">
        <f t="shared" si="11"/>
        <v>5</v>
      </c>
      <c r="E38" s="25">
        <f t="shared" si="7"/>
        <v>30.833333333333332</v>
      </c>
      <c r="F38" s="4">
        <f>10+$M$2</f>
        <v>14</v>
      </c>
      <c r="G38" s="4">
        <f t="shared" si="12"/>
        <v>7</v>
      </c>
      <c r="H38" s="25">
        <f t="shared" si="9"/>
        <v>8.1666666666666661</v>
      </c>
      <c r="I38" s="24">
        <f t="shared" si="10"/>
        <v>22.666666666666664</v>
      </c>
    </row>
    <row r="39" ht="14.4" customHeight="1">
      <c r="A39" s="7"/>
      <c r="B39" s="12"/>
      <c r="C39" s="4">
        <f>65-$M$2</f>
        <v>61</v>
      </c>
      <c r="D39" s="4">
        <f t="shared" si="11"/>
        <v>3</v>
      </c>
      <c r="E39" s="25">
        <f t="shared" si="7"/>
        <v>15.25</v>
      </c>
      <c r="F39" s="4" t="s">
        <v>14</v>
      </c>
      <c r="G39" s="4" t="s">
        <v>14</v>
      </c>
      <c r="H39" s="25" t="s">
        <v>14</v>
      </c>
      <c r="I39" s="24">
        <f>B39+E39</f>
        <v>15.25</v>
      </c>
    </row>
    <row r="40" ht="14.4" customHeight="1">
      <c r="A40" s="7" t="s">
        <v>24</v>
      </c>
      <c r="B40" s="12">
        <f>380-$M$2</f>
        <v>376</v>
      </c>
      <c r="C40" s="4">
        <f>14+$M$2</f>
        <v>18</v>
      </c>
      <c r="D40" s="4">
        <f t="shared" si="11"/>
        <v>6</v>
      </c>
      <c r="E40" s="25">
        <f t="shared" si="7"/>
        <v>9</v>
      </c>
      <c r="F40" s="4">
        <f>7+$M$2</f>
        <v>11</v>
      </c>
      <c r="G40" s="4">
        <f>MONTH($L$11)-MONTH(F11)+1</f>
        <v>10</v>
      </c>
      <c r="H40" s="25">
        <f t="shared" si="9"/>
        <v>9.1666666666666661</v>
      </c>
      <c r="I40" s="24">
        <f t="shared" si="10"/>
        <v>375.83333333333331</v>
      </c>
    </row>
    <row r="41" ht="14.4" customHeight="1">
      <c r="A41" s="7" t="s">
        <v>25</v>
      </c>
      <c r="B41" s="12">
        <f>195+$M$2</f>
        <v>199</v>
      </c>
      <c r="C41" s="4">
        <f>34-$M$2</f>
        <v>30</v>
      </c>
      <c r="D41" s="4">
        <f t="shared" si="11"/>
        <v>4</v>
      </c>
      <c r="E41" s="25">
        <f t="shared" si="7"/>
        <v>10</v>
      </c>
      <c r="F41" s="4" t="s">
        <v>14</v>
      </c>
      <c r="G41" s="4" t="s">
        <v>14</v>
      </c>
      <c r="H41" s="25" t="s">
        <v>14</v>
      </c>
      <c r="I41" s="24">
        <f t="shared" ref="I41:I42" si="13">B41+E41</f>
        <v>209</v>
      </c>
    </row>
    <row r="42" ht="14.4" customHeight="1">
      <c r="A42" s="7" t="s">
        <v>26</v>
      </c>
      <c r="B42" s="12">
        <f>225+4*$M$2</f>
        <v>241</v>
      </c>
      <c r="C42" s="4">
        <f>49+$M$2</f>
        <v>53</v>
      </c>
      <c r="D42" s="4">
        <f t="shared" si="11"/>
        <v>9</v>
      </c>
      <c r="E42" s="25">
        <f t="shared" si="7"/>
        <v>39.75</v>
      </c>
      <c r="F42" s="4" t="s">
        <v>14</v>
      </c>
      <c r="G42" s="4" t="s">
        <v>14</v>
      </c>
      <c r="H42" s="25" t="s">
        <v>14</v>
      </c>
      <c r="I42" s="24">
        <f t="shared" si="13"/>
        <v>280.75</v>
      </c>
    </row>
    <row r="43" ht="14.4" customHeight="1">
      <c r="A43" s="7" t="s">
        <v>27</v>
      </c>
      <c r="B43" s="12">
        <f>170+3*$M$2</f>
        <v>182</v>
      </c>
      <c r="C43" s="4">
        <f>23+$M$2</f>
        <v>27</v>
      </c>
      <c r="D43" s="4">
        <f t="shared" si="11"/>
        <v>7</v>
      </c>
      <c r="E43" s="25">
        <f t="shared" si="7"/>
        <v>15.75</v>
      </c>
      <c r="F43" s="4">
        <f>20-$M$2</f>
        <v>16</v>
      </c>
      <c r="G43" s="4">
        <f>MONTH($L$11)-MONTH(F14)+1</f>
        <v>3</v>
      </c>
      <c r="H43" s="25">
        <f t="shared" si="9"/>
        <v>4</v>
      </c>
      <c r="I43" s="24">
        <f t="shared" si="10"/>
        <v>193.75</v>
      </c>
    </row>
    <row r="44" ht="14.4" customHeight="1">
      <c r="A44" s="7" t="s">
        <v>38</v>
      </c>
      <c r="B44" s="16">
        <f>SUM(B34:B43)</f>
        <v>3003</v>
      </c>
      <c r="C44" s="17">
        <f>SUM(C34:C43)</f>
        <v>383</v>
      </c>
      <c r="D44" s="28" t="s">
        <v>14</v>
      </c>
      <c r="E44" s="17">
        <f>SUM(E34:E43)</f>
        <v>217.58333333333331</v>
      </c>
      <c r="F44" s="29">
        <f>SUM(F34:F43)</f>
        <v>115</v>
      </c>
      <c r="G44" s="30" t="s">
        <v>14</v>
      </c>
      <c r="H44" s="31">
        <f>H34+H36+H37+H38+H40</f>
        <v>51.166666666666657</v>
      </c>
      <c r="I44" s="26">
        <f>SUM(I34:I43)</f>
        <v>3165.4166666666665</v>
      </c>
    </row>
    <row r="45" ht="14.4" customHeight="1"/>
    <row r="46" ht="14.4" customHeight="1"/>
    <row r="47" ht="14.4" customHeight="1">
      <c r="A47" s="2" t="s">
        <v>15</v>
      </c>
      <c r="B47" s="3" t="s">
        <v>48</v>
      </c>
      <c r="C47" s="3" t="s">
        <v>16</v>
      </c>
      <c r="D47" s="3"/>
      <c r="E47" s="3" t="s">
        <v>17</v>
      </c>
    </row>
    <row r="48" ht="14.4" customHeight="1">
      <c r="A48" s="2"/>
      <c r="B48" s="3"/>
      <c r="C48" s="3" t="s">
        <v>19</v>
      </c>
      <c r="D48" s="3" t="s">
        <v>20</v>
      </c>
      <c r="E48" s="3"/>
    </row>
    <row r="49" ht="14.4" customHeight="1">
      <c r="A49" s="7" t="s">
        <v>22</v>
      </c>
      <c r="B49" s="32" t="s">
        <v>49</v>
      </c>
      <c r="C49" s="9">
        <f>I8</f>
        <v>15220</v>
      </c>
      <c r="D49" s="9">
        <f>J8</f>
        <v>16500</v>
      </c>
      <c r="E49" s="33" t="s">
        <v>14</v>
      </c>
    </row>
    <row r="50" ht="14.4" customHeight="1">
      <c r="A50" s="7" t="s">
        <v>50</v>
      </c>
      <c r="B50" s="34" t="s">
        <v>51</v>
      </c>
      <c r="C50" s="35">
        <f>B44</f>
        <v>3003</v>
      </c>
      <c r="D50" s="35">
        <f>I44</f>
        <v>3165.4166666666665</v>
      </c>
      <c r="E50" s="36" t="s">
        <v>14</v>
      </c>
    </row>
    <row r="51" ht="14.4" customHeight="1">
      <c r="A51" s="7" t="s">
        <v>52</v>
      </c>
      <c r="B51" s="34" t="s">
        <v>53</v>
      </c>
      <c r="C51" s="4">
        <f>C49/C50</f>
        <v>5.0682650682650685</v>
      </c>
      <c r="D51" s="4">
        <f>D49/D50</f>
        <v>5.2125839147031723</v>
      </c>
      <c r="E51" s="36">
        <f t="shared" ref="E51:E54" si="14">D51-C51</f>
        <v>0.14431884643810378</v>
      </c>
      <c r="G51" s="4" t="s">
        <v>54</v>
      </c>
      <c r="H51" s="4">
        <f>(D51-C51)*D50</f>
        <v>456.829281829281</v>
      </c>
    </row>
    <row r="52" ht="14.4" customHeight="1">
      <c r="A52" s="7" t="s">
        <v>55</v>
      </c>
      <c r="B52" s="34" t="s">
        <v>56</v>
      </c>
      <c r="C52" s="4">
        <f>C50/C49</f>
        <v>0.19730617608409987</v>
      </c>
      <c r="D52" s="4">
        <f>D50/D49</f>
        <v>0.19184343434343434</v>
      </c>
      <c r="E52" s="36">
        <f t="shared" si="14"/>
        <v>-5.4627417406655221e-003</v>
      </c>
    </row>
    <row r="53" ht="14.4" customHeight="1">
      <c r="A53" s="7" t="s">
        <v>57</v>
      </c>
      <c r="B53" s="34" t="s">
        <v>49</v>
      </c>
      <c r="C53" s="4">
        <f>I9</f>
        <v>150</v>
      </c>
      <c r="D53" s="4">
        <f>J9</f>
        <v>158</v>
      </c>
      <c r="E53" s="36" t="s">
        <v>14</v>
      </c>
      <c r="G53" s="37" t="s">
        <v>58</v>
      </c>
      <c r="H53" s="38"/>
      <c r="I53" s="39"/>
    </row>
    <row r="54" ht="14.4" customHeight="1">
      <c r="A54" s="7" t="s">
        <v>59</v>
      </c>
      <c r="B54" s="16" t="s">
        <v>60</v>
      </c>
      <c r="C54" s="28">
        <f>C50/C53</f>
        <v>20.02</v>
      </c>
      <c r="D54" s="28">
        <f>D50/D53</f>
        <v>20.03428270042194</v>
      </c>
      <c r="E54" s="40">
        <f t="shared" si="14"/>
        <v>1.4282700421940575e-002</v>
      </c>
      <c r="G54" s="41"/>
      <c r="H54" s="1"/>
      <c r="I54" s="42"/>
    </row>
    <row r="55" ht="14.4" customHeight="1">
      <c r="G55" s="41"/>
      <c r="H55" s="1"/>
      <c r="I55" s="42"/>
    </row>
    <row r="56" ht="14.4" customHeight="1">
      <c r="G56" s="43"/>
      <c r="H56" s="44"/>
      <c r="I56" s="45"/>
    </row>
    <row r="57" ht="14.4" customHeight="1"/>
    <row r="58" ht="14.4" customHeight="1"/>
    <row r="59" ht="14.4" customHeight="1"/>
    <row r="60" ht="14.4" customHeight="1"/>
    <row r="61" ht="14.4" customHeight="1"/>
  </sheetData>
  <mergeCells count="27">
    <mergeCell ref="A2:A4"/>
    <mergeCell ref="B2:F2"/>
    <mergeCell ref="B3:B4"/>
    <mergeCell ref="C3:D3"/>
    <mergeCell ref="E3:F3"/>
    <mergeCell ref="H6:H7"/>
    <mergeCell ref="I6:J6"/>
    <mergeCell ref="K6:K7"/>
    <mergeCell ref="A8:A10"/>
    <mergeCell ref="B8:B10"/>
    <mergeCell ref="A17:A18"/>
    <mergeCell ref="B17:E17"/>
    <mergeCell ref="F17:H17"/>
    <mergeCell ref="A22:A24"/>
    <mergeCell ref="B22:B24"/>
    <mergeCell ref="A32:A33"/>
    <mergeCell ref="B32:B33"/>
    <mergeCell ref="C32:E32"/>
    <mergeCell ref="F32:H32"/>
    <mergeCell ref="I32:I33"/>
    <mergeCell ref="A37:A39"/>
    <mergeCell ref="B37:B39"/>
    <mergeCell ref="A47:A48"/>
    <mergeCell ref="B47:B48"/>
    <mergeCell ref="C47:D47"/>
    <mergeCell ref="E47:E48"/>
    <mergeCell ref="G53:I5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" zoomScale="85" workbookViewId="0">
      <selection activeCell="C42" activeCellId="0" sqref="C42"/>
    </sheetView>
  </sheetViews>
  <sheetFormatPr defaultColWidth="9.109375" defaultRowHeight="14.25"/>
  <cols>
    <col bestFit="1" customWidth="1" min="1" max="1" style="46" width="42.203125"/>
    <col bestFit="1" customWidth="1" min="2" max="2" style="46" width="22.08203125"/>
    <col bestFit="1" customWidth="1" min="3" max="3" style="46" width="33.40234375"/>
    <col bestFit="1" customWidth="1" min="4" max="4" style="46" width="35.9140625"/>
    <col bestFit="1" customWidth="1" min="5" max="5" style="46" width="25.8515625"/>
    <col bestFit="1" customWidth="1" min="6" max="6" style="46" width="4.48046875"/>
    <col bestFit="1" min="7" max="10" style="46" width="4.48046875"/>
    <col min="11" max="11" style="46" width="9.109375"/>
    <col bestFit="1" customWidth="1" min="12" max="12" style="46" width="49.6640625"/>
    <col bestFit="1" customWidth="1" min="13" max="13" style="46" width="28.109375"/>
    <col bestFit="1" customWidth="1" min="14" max="14" style="46" width="10.33203125"/>
    <col bestFit="1" customWidth="1" min="15" max="15" style="46" width="11.88671875"/>
    <col min="16" max="16384" style="46" width="9.109375"/>
  </cols>
  <sheetData>
    <row r="1" ht="14.4" customHeight="1">
      <c r="A1" s="1" t="s">
        <v>61</v>
      </c>
      <c r="B1" s="1"/>
      <c r="C1" s="1"/>
      <c r="D1" s="1" t="s">
        <v>62</v>
      </c>
      <c r="E1" s="1"/>
      <c r="F1" s="1"/>
      <c r="G1" s="1"/>
      <c r="H1" s="1"/>
      <c r="I1" s="1"/>
      <c r="J1" s="1"/>
    </row>
    <row r="2" ht="14.4" customHeight="1">
      <c r="A2" s="4" t="s">
        <v>15</v>
      </c>
      <c r="B2" s="4" t="s">
        <v>63</v>
      </c>
      <c r="C2" s="1"/>
      <c r="D2" s="2" t="s">
        <v>15</v>
      </c>
      <c r="E2" s="47" t="s">
        <v>64</v>
      </c>
      <c r="F2" s="1"/>
      <c r="G2" s="1"/>
      <c r="H2" s="1"/>
      <c r="I2" s="1"/>
      <c r="J2" s="1"/>
    </row>
    <row r="3" ht="14.4" customHeight="1">
      <c r="A3" s="48" t="s">
        <v>65</v>
      </c>
      <c r="B3" s="4">
        <v>130</v>
      </c>
      <c r="C3" s="1"/>
      <c r="D3" s="2"/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</row>
    <row r="4" ht="14.4" customHeight="1">
      <c r="A4" s="48" t="s">
        <v>66</v>
      </c>
      <c r="B4" s="4">
        <v>7</v>
      </c>
      <c r="C4" s="1"/>
      <c r="D4" s="2" t="s">
        <v>67</v>
      </c>
      <c r="E4" s="4">
        <v>250</v>
      </c>
      <c r="F4" s="4">
        <v>232</v>
      </c>
      <c r="G4" s="4">
        <v>264</v>
      </c>
      <c r="H4" s="4">
        <v>280</v>
      </c>
      <c r="I4" s="4">
        <v>230</v>
      </c>
      <c r="J4" s="4">
        <v>275</v>
      </c>
    </row>
    <row r="5" ht="14.4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ht="14.4" customHeight="1">
      <c r="A6" s="49" t="s">
        <v>68</v>
      </c>
      <c r="B6" s="50"/>
      <c r="C6" s="50"/>
      <c r="D6" s="50"/>
      <c r="E6" s="51"/>
      <c r="F6" s="1"/>
      <c r="G6" s="1"/>
      <c r="H6" s="1"/>
      <c r="I6" s="1"/>
      <c r="J6" s="1"/>
    </row>
    <row r="7" ht="14.4" customHeight="1">
      <c r="A7" s="8" t="s">
        <v>69</v>
      </c>
      <c r="B7" s="9" t="s">
        <v>70</v>
      </c>
      <c r="C7" s="9" t="s">
        <v>71</v>
      </c>
      <c r="D7" s="9" t="s">
        <v>72</v>
      </c>
      <c r="E7" s="23" t="s">
        <v>73</v>
      </c>
      <c r="F7" s="1"/>
      <c r="G7" s="1"/>
      <c r="H7" s="1"/>
      <c r="I7" s="1"/>
      <c r="J7" s="1"/>
    </row>
    <row r="8" ht="14.4" customHeight="1">
      <c r="A8" s="12">
        <v>1</v>
      </c>
      <c r="B8" s="52">
        <f t="shared" ref="B8:B13" si="15">100/$B$4/100</f>
        <v>0.14285714285714288</v>
      </c>
      <c r="C8" s="53">
        <f>B3*B8</f>
        <v>18.571428571428573</v>
      </c>
      <c r="D8" s="53">
        <f>B3-C8</f>
        <v>111.42857142857143</v>
      </c>
      <c r="E8" s="54">
        <f>C8</f>
        <v>18.571428571428573</v>
      </c>
      <c r="F8" s="1"/>
      <c r="G8" s="1"/>
      <c r="H8" s="1"/>
      <c r="I8" s="1"/>
      <c r="J8" s="1"/>
    </row>
    <row r="9" ht="14.4" customHeight="1">
      <c r="A9" s="12">
        <v>2</v>
      </c>
      <c r="B9" s="52">
        <f t="shared" si="15"/>
        <v>0.14285714285714288</v>
      </c>
      <c r="C9" s="53">
        <f>B3*B9</f>
        <v>18.571428571428573</v>
      </c>
      <c r="D9" s="53">
        <f>D8-C9</f>
        <v>92.857142857142861</v>
      </c>
      <c r="E9" s="54">
        <f>E8+C9</f>
        <v>37.142857142857146</v>
      </c>
      <c r="F9" s="1"/>
      <c r="G9" s="1"/>
      <c r="H9" s="1"/>
      <c r="I9" s="1"/>
      <c r="J9" s="1"/>
    </row>
    <row r="10" ht="14.4" customHeight="1">
      <c r="A10" s="12">
        <v>3</v>
      </c>
      <c r="B10" s="52">
        <f t="shared" si="15"/>
        <v>0.14285714285714288</v>
      </c>
      <c r="C10" s="53">
        <f>B3*B10</f>
        <v>18.571428571428573</v>
      </c>
      <c r="D10" s="53">
        <f>D9-C10</f>
        <v>74.285714285714292</v>
      </c>
      <c r="E10" s="54">
        <f>E9+C10</f>
        <v>55.714285714285722</v>
      </c>
      <c r="F10" s="1"/>
      <c r="G10" s="1"/>
      <c r="H10" s="1"/>
      <c r="I10" s="1"/>
      <c r="J10" s="1"/>
    </row>
    <row r="11" ht="14.4" customHeight="1">
      <c r="A11" s="12">
        <v>4</v>
      </c>
      <c r="B11" s="52">
        <f t="shared" si="15"/>
        <v>0.14285714285714288</v>
      </c>
      <c r="C11" s="53">
        <f>B3*B11</f>
        <v>18.571428571428573</v>
      </c>
      <c r="D11" s="53">
        <f t="shared" ref="D11:D13" si="16">D10-C11</f>
        <v>55.714285714285722</v>
      </c>
      <c r="E11" s="54">
        <f t="shared" ref="E11:E13" si="17">E10+C11</f>
        <v>74.285714285714292</v>
      </c>
      <c r="F11" s="1"/>
      <c r="G11" s="1"/>
      <c r="H11" s="1"/>
      <c r="I11" s="1"/>
      <c r="J11" s="1"/>
    </row>
    <row r="12" ht="14.4" customHeight="1">
      <c r="A12" s="34">
        <v>5</v>
      </c>
      <c r="B12" s="52">
        <f t="shared" si="15"/>
        <v>0.14285714285714288</v>
      </c>
      <c r="C12" s="53">
        <f>B3*B12</f>
        <v>18.571428571428573</v>
      </c>
      <c r="D12" s="53">
        <f t="shared" si="16"/>
        <v>37.142857142857153</v>
      </c>
      <c r="E12" s="54">
        <f t="shared" si="17"/>
        <v>92.857142857142861</v>
      </c>
      <c r="F12" s="1"/>
      <c r="G12" s="1"/>
      <c r="H12" s="1"/>
      <c r="I12" s="1"/>
      <c r="J12" s="1"/>
    </row>
    <row r="13" ht="14.4" customHeight="1">
      <c r="A13" s="55">
        <v>6</v>
      </c>
      <c r="B13" s="56">
        <f t="shared" si="15"/>
        <v>0.14285714285714288</v>
      </c>
      <c r="C13" s="57">
        <f>B3*B13</f>
        <v>18.571428571428573</v>
      </c>
      <c r="D13" s="57">
        <f t="shared" si="16"/>
        <v>18.57142857142858</v>
      </c>
      <c r="E13" s="58">
        <f t="shared" si="17"/>
        <v>111.42857142857143</v>
      </c>
      <c r="F13" s="1"/>
      <c r="G13" s="1"/>
      <c r="H13" s="1"/>
      <c r="I13" s="1"/>
      <c r="J13" s="1"/>
    </row>
    <row r="14" ht="14.4" customHeight="1">
      <c r="A14" s="49" t="s">
        <v>74</v>
      </c>
      <c r="B14" s="50"/>
      <c r="C14" s="50"/>
      <c r="D14" s="50"/>
      <c r="E14" s="51"/>
      <c r="F14" s="1"/>
      <c r="G14" s="1"/>
      <c r="H14" s="1"/>
      <c r="I14" s="1"/>
      <c r="J14" s="1"/>
    </row>
    <row r="15" ht="14.4" customHeight="1">
      <c r="A15" s="8" t="s">
        <v>69</v>
      </c>
      <c r="B15" s="9" t="s">
        <v>70</v>
      </c>
      <c r="C15" s="9" t="s">
        <v>71</v>
      </c>
      <c r="D15" s="9" t="s">
        <v>72</v>
      </c>
      <c r="E15" s="23" t="s">
        <v>73</v>
      </c>
      <c r="F15" s="1"/>
      <c r="G15" s="1"/>
      <c r="H15" s="1"/>
      <c r="I15" s="1"/>
      <c r="J15" s="1"/>
    </row>
    <row r="16" ht="14.4" customHeight="1">
      <c r="A16" s="12">
        <v>1</v>
      </c>
      <c r="B16" s="52">
        <f>6/(6*(6+1)/2)</f>
        <v>0.2857142857142857</v>
      </c>
      <c r="C16" s="53">
        <f t="shared" ref="C16:C32" si="18">$B$3*B16</f>
        <v>37.142857142857139</v>
      </c>
      <c r="D16" s="53">
        <f>B3-C16</f>
        <v>92.857142857142861</v>
      </c>
      <c r="E16" s="54">
        <f>C16</f>
        <v>37.142857142857139</v>
      </c>
      <c r="F16" s="1"/>
      <c r="G16" s="1"/>
      <c r="H16" s="1"/>
      <c r="I16" s="1"/>
      <c r="J16" s="1"/>
    </row>
    <row r="17" ht="14.4" customHeight="1">
      <c r="A17" s="12">
        <v>2</v>
      </c>
      <c r="B17" s="52">
        <f>5/(6*(6+1)/2)</f>
        <v>0.23809523809523808</v>
      </c>
      <c r="C17" s="53">
        <f t="shared" si="18"/>
        <v>30.952380952380949</v>
      </c>
      <c r="D17" s="53">
        <f t="shared" ref="D17:D21" si="19">D16-C17</f>
        <v>61.904761904761912</v>
      </c>
      <c r="E17" s="54">
        <f t="shared" ref="E17:E21" si="20">E16+C17</f>
        <v>68.095238095238088</v>
      </c>
      <c r="F17" s="1"/>
      <c r="G17" s="1"/>
      <c r="H17" s="59"/>
      <c r="I17" s="1"/>
      <c r="J17" s="1"/>
    </row>
    <row r="18" ht="14.4" customHeight="1">
      <c r="A18" s="12">
        <v>3</v>
      </c>
      <c r="B18" s="52">
        <f>4/(6*(6+1)/2)</f>
        <v>0.19047619047619047</v>
      </c>
      <c r="C18" s="53">
        <f t="shared" si="18"/>
        <v>24.761904761904759</v>
      </c>
      <c r="D18" s="53">
        <f t="shared" si="19"/>
        <v>37.142857142857153</v>
      </c>
      <c r="E18" s="54">
        <f t="shared" si="20"/>
        <v>92.857142857142847</v>
      </c>
      <c r="F18" s="1"/>
      <c r="G18" s="1"/>
      <c r="H18" s="59"/>
      <c r="I18" s="1"/>
      <c r="J18" s="1"/>
    </row>
    <row r="19" ht="14.4" customHeight="1">
      <c r="A19" s="12">
        <v>4</v>
      </c>
      <c r="B19" s="52">
        <f>3/(6*(6+1)/2)</f>
        <v>0.14285714285714285</v>
      </c>
      <c r="C19" s="53">
        <f t="shared" si="18"/>
        <v>18.571428571428569</v>
      </c>
      <c r="D19" s="53">
        <f t="shared" si="19"/>
        <v>18.571428571428584</v>
      </c>
      <c r="E19" s="54">
        <f t="shared" si="20"/>
        <v>111.42857142857142</v>
      </c>
      <c r="F19" s="1"/>
      <c r="G19" s="1"/>
      <c r="H19" s="59"/>
      <c r="I19" s="1"/>
      <c r="J19" s="1"/>
    </row>
    <row r="20" ht="14.4" customHeight="1">
      <c r="A20" s="34">
        <v>5</v>
      </c>
      <c r="B20" s="52">
        <f>2/(6*(6+1)/2)</f>
        <v>9.5238095238095233e-002</v>
      </c>
      <c r="C20" s="53">
        <f t="shared" si="18"/>
        <v>12.38095238095238</v>
      </c>
      <c r="D20" s="53">
        <f t="shared" si="19"/>
        <v>6.190476190476204</v>
      </c>
      <c r="E20" s="54">
        <f t="shared" si="20"/>
        <v>123.8095238095238</v>
      </c>
      <c r="F20" s="1"/>
      <c r="G20" s="1"/>
      <c r="H20" s="59"/>
      <c r="I20" s="1"/>
      <c r="J20" s="1"/>
    </row>
    <row r="21" ht="14.4" customHeight="1">
      <c r="A21" s="55">
        <v>6</v>
      </c>
      <c r="B21" s="56">
        <f>1/(6*(6+1)/2)</f>
        <v>4.7619047619047616e-002</v>
      </c>
      <c r="C21" s="57">
        <f t="shared" si="18"/>
        <v>6.1904761904761898</v>
      </c>
      <c r="D21" s="57">
        <f t="shared" si="19"/>
        <v>1.4210854715202004e-014</v>
      </c>
      <c r="E21" s="58">
        <f t="shared" si="20"/>
        <v>130</v>
      </c>
      <c r="F21" s="1"/>
      <c r="G21" s="1"/>
      <c r="H21" s="59"/>
      <c r="I21" s="1"/>
      <c r="J21" s="1"/>
    </row>
    <row r="22" ht="14.4" customHeight="1">
      <c r="A22" s="49" t="s">
        <v>75</v>
      </c>
      <c r="B22" s="50"/>
      <c r="C22" s="50"/>
      <c r="D22" s="50"/>
      <c r="E22" s="51"/>
      <c r="F22" s="1"/>
      <c r="G22" s="1"/>
      <c r="H22" s="59"/>
      <c r="I22" s="1"/>
      <c r="J22" s="1"/>
    </row>
    <row r="23" ht="14.4" customHeight="1">
      <c r="A23" s="8" t="s">
        <v>69</v>
      </c>
      <c r="B23" s="9" t="s">
        <v>70</v>
      </c>
      <c r="C23" s="9" t="s">
        <v>71</v>
      </c>
      <c r="D23" s="9" t="s">
        <v>72</v>
      </c>
      <c r="E23" s="23" t="s">
        <v>73</v>
      </c>
      <c r="F23" s="1"/>
      <c r="G23" s="1"/>
      <c r="H23" s="1"/>
      <c r="I23" s="1"/>
      <c r="J23" s="1"/>
    </row>
    <row r="24" ht="14.4" customHeight="1">
      <c r="A24" s="12">
        <v>1</v>
      </c>
      <c r="B24" s="52">
        <f>(6-6+1)/(6*(6+1)/2)</f>
        <v>4.7619047619047616e-002</v>
      </c>
      <c r="C24" s="53">
        <f t="shared" si="18"/>
        <v>6.1904761904761898</v>
      </c>
      <c r="D24" s="53">
        <f>$B$3-C24</f>
        <v>123.80952380952381</v>
      </c>
      <c r="E24" s="54">
        <f>C24</f>
        <v>6.1904761904761898</v>
      </c>
      <c r="F24" s="1"/>
      <c r="G24" s="1"/>
      <c r="H24" s="1"/>
      <c r="I24" s="1"/>
      <c r="J24" s="1"/>
    </row>
    <row r="25" ht="14.4" customHeight="1">
      <c r="A25" s="12">
        <v>2</v>
      </c>
      <c r="B25" s="52">
        <f>(6-5+1)/(6*(6+1)/2)</f>
        <v>9.5238095238095233e-002</v>
      </c>
      <c r="C25" s="53">
        <f t="shared" si="18"/>
        <v>12.38095238095238</v>
      </c>
      <c r="D25" s="53">
        <f t="shared" ref="D25:D29" si="21">D24-C25</f>
        <v>111.42857142857143</v>
      </c>
      <c r="E25" s="54">
        <f t="shared" ref="E25:E29" si="22">E24+C25</f>
        <v>18.571428571428569</v>
      </c>
      <c r="F25" s="1"/>
      <c r="G25" s="1"/>
      <c r="H25" s="1"/>
      <c r="I25" s="1"/>
      <c r="J25" s="1"/>
    </row>
    <row r="26" ht="14.4" customHeight="1">
      <c r="A26" s="12">
        <v>3</v>
      </c>
      <c r="B26" s="52">
        <f>(6-4+1)/(6*(6+1)/2)</f>
        <v>0.14285714285714285</v>
      </c>
      <c r="C26" s="53">
        <f t="shared" si="18"/>
        <v>18.571428571428569</v>
      </c>
      <c r="D26" s="53">
        <f t="shared" si="21"/>
        <v>92.857142857142861</v>
      </c>
      <c r="E26" s="54">
        <f t="shared" si="22"/>
        <v>37.142857142857139</v>
      </c>
      <c r="F26" s="1"/>
      <c r="G26" s="1"/>
      <c r="H26" s="1"/>
      <c r="I26" s="1"/>
      <c r="J26" s="1"/>
    </row>
    <row r="27" ht="14.4" customHeight="1">
      <c r="A27" s="12">
        <v>4</v>
      </c>
      <c r="B27" s="52">
        <f>(6-3+1)/(6*(6+1)/2)</f>
        <v>0.19047619047619047</v>
      </c>
      <c r="C27" s="53">
        <f t="shared" si="18"/>
        <v>24.761904761904759</v>
      </c>
      <c r="D27" s="53">
        <f t="shared" si="21"/>
        <v>68.095238095238102</v>
      </c>
      <c r="E27" s="54">
        <f t="shared" si="22"/>
        <v>61.904761904761898</v>
      </c>
      <c r="F27" s="1"/>
      <c r="G27" s="1"/>
      <c r="H27" s="1"/>
      <c r="I27" s="1"/>
      <c r="J27" s="1"/>
    </row>
    <row r="28" ht="14.4" customHeight="1">
      <c r="A28" s="34">
        <v>5</v>
      </c>
      <c r="B28" s="52">
        <f>(6-2+1)/(6*(6+1)/2)</f>
        <v>0.23809523809523808</v>
      </c>
      <c r="C28" s="53">
        <f t="shared" si="18"/>
        <v>30.952380952380949</v>
      </c>
      <c r="D28" s="53">
        <f t="shared" si="21"/>
        <v>37.142857142857153</v>
      </c>
      <c r="E28" s="54">
        <f t="shared" si="22"/>
        <v>92.857142857142847</v>
      </c>
      <c r="F28" s="1"/>
      <c r="G28" s="1"/>
      <c r="H28" s="1"/>
      <c r="I28" s="1"/>
      <c r="J28" s="1"/>
    </row>
    <row r="29" ht="14.4" customHeight="1">
      <c r="A29" s="55">
        <v>6</v>
      </c>
      <c r="B29" s="56">
        <f>(6-1+1)/(6*(6+1)/2)</f>
        <v>0.2857142857142857</v>
      </c>
      <c r="C29" s="57">
        <f t="shared" si="18"/>
        <v>37.142857142857139</v>
      </c>
      <c r="D29" s="57">
        <f t="shared" si="21"/>
        <v>1.4210854715202004e-014</v>
      </c>
      <c r="E29" s="58">
        <f t="shared" si="22"/>
        <v>130</v>
      </c>
      <c r="F29" s="1"/>
      <c r="G29" s="1"/>
      <c r="H29" s="1"/>
      <c r="I29" s="1"/>
      <c r="J29" s="1"/>
    </row>
    <row r="30" ht="14.4" customHeight="1">
      <c r="A30" s="49" t="s">
        <v>76</v>
      </c>
      <c r="B30" s="50"/>
      <c r="C30" s="50"/>
      <c r="D30" s="50"/>
      <c r="E30" s="51"/>
      <c r="F30" s="1"/>
      <c r="G30" s="1"/>
      <c r="H30" s="1"/>
      <c r="I30" s="1"/>
      <c r="J30" s="1"/>
    </row>
    <row r="31" ht="14.4" customHeight="1">
      <c r="A31" s="8" t="s">
        <v>69</v>
      </c>
      <c r="B31" s="9" t="s">
        <v>70</v>
      </c>
      <c r="C31" s="9" t="s">
        <v>71</v>
      </c>
      <c r="D31" s="9" t="s">
        <v>72</v>
      </c>
      <c r="E31" s="23" t="s">
        <v>73</v>
      </c>
      <c r="F31" s="1"/>
      <c r="G31" s="1"/>
      <c r="H31" s="1"/>
      <c r="I31" s="1"/>
      <c r="J31" s="1"/>
    </row>
    <row r="32" ht="14.4" customHeight="1">
      <c r="A32" s="12">
        <v>1</v>
      </c>
      <c r="B32" s="52">
        <f t="shared" ref="B32:B37" si="23">(100/6)*2/100</f>
        <v>0.33333333333333337</v>
      </c>
      <c r="C32" s="53">
        <f t="shared" si="18"/>
        <v>43.333333333333336</v>
      </c>
      <c r="D32" s="53">
        <f>B3-C32</f>
        <v>86.666666666666657</v>
      </c>
      <c r="E32" s="54">
        <f>C32</f>
        <v>43.333333333333336</v>
      </c>
      <c r="F32" s="1"/>
      <c r="G32" s="1"/>
      <c r="H32" s="1"/>
      <c r="I32" s="1"/>
      <c r="J32" s="1"/>
    </row>
    <row r="33" ht="14.4" customHeight="1">
      <c r="A33" s="12">
        <v>2</v>
      </c>
      <c r="B33" s="52">
        <f t="shared" si="23"/>
        <v>0.33333333333333337</v>
      </c>
      <c r="C33" s="53">
        <f>($B$3-C32)*B33</f>
        <v>28.888888888888889</v>
      </c>
      <c r="D33" s="53">
        <f t="shared" ref="D33:D37" si="24">D32-C33</f>
        <v>57.777777777777771</v>
      </c>
      <c r="E33" s="54">
        <f t="shared" ref="E33:E37" si="25">E32+C33</f>
        <v>72.222222222222229</v>
      </c>
      <c r="F33" s="1"/>
      <c r="G33" s="1"/>
      <c r="H33" s="1"/>
      <c r="I33" s="1"/>
      <c r="J33" s="1"/>
    </row>
    <row r="34" ht="14.4" customHeight="1">
      <c r="A34" s="12">
        <v>3</v>
      </c>
      <c r="B34" s="52">
        <f t="shared" si="23"/>
        <v>0.33333333333333337</v>
      </c>
      <c r="C34" s="53">
        <f>($B$3-C32-C33)*B34</f>
        <v>19.25925925925926</v>
      </c>
      <c r="D34" s="53">
        <f t="shared" si="24"/>
        <v>38.518518518518512</v>
      </c>
      <c r="E34" s="54">
        <f t="shared" si="25"/>
        <v>91.481481481481495</v>
      </c>
      <c r="F34" s="1"/>
      <c r="G34" s="1"/>
      <c r="H34" s="1"/>
      <c r="I34" s="1"/>
      <c r="J34" s="1"/>
    </row>
    <row r="35" ht="14.4" customHeight="1">
      <c r="A35" s="12">
        <v>4</v>
      </c>
      <c r="B35" s="52">
        <f t="shared" si="23"/>
        <v>0.33333333333333337</v>
      </c>
      <c r="C35" s="53">
        <f>($B$3-C32-C33-C34)*B34</f>
        <v>12.839506172839505</v>
      </c>
      <c r="D35" s="53">
        <f t="shared" si="24"/>
        <v>25.679012345679006</v>
      </c>
      <c r="E35" s="54">
        <f t="shared" si="25"/>
        <v>104.320987654321</v>
      </c>
      <c r="F35" s="1"/>
      <c r="G35" s="1"/>
      <c r="H35" s="1"/>
      <c r="I35" s="1"/>
      <c r="J35" s="1"/>
    </row>
    <row r="36" ht="14.4" customHeight="1">
      <c r="A36" s="34">
        <v>5</v>
      </c>
      <c r="B36" s="52">
        <f t="shared" si="23"/>
        <v>0.33333333333333337</v>
      </c>
      <c r="C36" s="53">
        <f>($B$3-C32-C33-C34-C35)*B34</f>
        <v>8.5596707818930025</v>
      </c>
      <c r="D36" s="53">
        <f t="shared" si="24"/>
        <v>17.119341563786001</v>
      </c>
      <c r="E36" s="54">
        <f t="shared" si="25"/>
        <v>112.88065843621401</v>
      </c>
      <c r="F36" s="1"/>
      <c r="G36" s="1"/>
      <c r="H36" s="1"/>
      <c r="I36" s="1"/>
      <c r="J36" s="1"/>
    </row>
    <row r="37" ht="14.4" customHeight="1">
      <c r="A37" s="55">
        <v>6</v>
      </c>
      <c r="B37" s="56">
        <f t="shared" si="23"/>
        <v>0.33333333333333337</v>
      </c>
      <c r="C37" s="57">
        <f>($B$3-C32-C33-C34-C35-C36)</f>
        <v>17.119341563786001</v>
      </c>
      <c r="D37" s="57">
        <f t="shared" si="24"/>
        <v>0</v>
      </c>
      <c r="E37" s="58">
        <f t="shared" si="25"/>
        <v>130</v>
      </c>
      <c r="F37" s="1"/>
      <c r="G37" s="1"/>
      <c r="H37" s="1"/>
      <c r="I37" s="1"/>
      <c r="J37" s="1"/>
    </row>
    <row r="38" ht="14.4" customHeight="1">
      <c r="A38" s="49" t="s">
        <v>77</v>
      </c>
      <c r="B38" s="50"/>
      <c r="C38" s="50"/>
      <c r="D38" s="50"/>
      <c r="E38" s="51"/>
      <c r="F38" s="1"/>
      <c r="G38" s="1"/>
      <c r="H38" s="1"/>
      <c r="I38" s="1"/>
      <c r="J38" s="1"/>
    </row>
    <row r="39" ht="14.4" customHeight="1">
      <c r="A39" s="8" t="s">
        <v>69</v>
      </c>
      <c r="B39" s="9" t="s">
        <v>70</v>
      </c>
      <c r="C39" s="9" t="s">
        <v>71</v>
      </c>
      <c r="D39" s="9" t="s">
        <v>72</v>
      </c>
      <c r="E39" s="23" t="s">
        <v>73</v>
      </c>
      <c r="F39" s="1"/>
      <c r="G39" s="1"/>
      <c r="H39" s="1"/>
      <c r="I39" s="1"/>
      <c r="J39" s="1"/>
    </row>
    <row r="40" ht="14.4" customHeight="1">
      <c r="A40" s="12">
        <v>1</v>
      </c>
      <c r="B40" s="52">
        <f>E4/SUM($E$4:$J$4)</f>
        <v>0.16329196603527107</v>
      </c>
      <c r="C40" s="53">
        <f t="shared" ref="C40:C45" si="26">$B$3*B40</f>
        <v>21.227955584585239</v>
      </c>
      <c r="D40" s="53">
        <f>$B$3-C40</f>
        <v>108.77204441541477</v>
      </c>
      <c r="E40" s="54">
        <f>C40</f>
        <v>21.227955584585239</v>
      </c>
      <c r="F40" s="1"/>
      <c r="G40" s="1"/>
      <c r="H40" s="1"/>
      <c r="I40" s="1"/>
      <c r="J40" s="1"/>
    </row>
    <row r="41" ht="14.4" customHeight="1">
      <c r="A41" s="12">
        <v>2</v>
      </c>
      <c r="B41" s="52">
        <f>F4/SUM($E$4:$J$4)</f>
        <v>0.15153494448073154</v>
      </c>
      <c r="C41" s="53">
        <f t="shared" si="26"/>
        <v>19.699542782495101</v>
      </c>
      <c r="D41" s="53">
        <f>$B$3-C40-C41</f>
        <v>89.072501632919668</v>
      </c>
      <c r="E41" s="54">
        <f t="shared" ref="E41:E45" si="27">E40+C41</f>
        <v>40.927498367080339</v>
      </c>
      <c r="F41" s="1"/>
      <c r="G41" s="1"/>
      <c r="H41" s="1"/>
      <c r="I41" s="1"/>
      <c r="J41" s="1"/>
    </row>
    <row r="42" ht="14.4" customHeight="1">
      <c r="A42" s="12">
        <v>3</v>
      </c>
      <c r="B42" s="52">
        <f>G4/SUM($E$4:$J$4)</f>
        <v>0.17243631613324625</v>
      </c>
      <c r="C42" s="53">
        <f t="shared" si="26"/>
        <v>22.416721097322014</v>
      </c>
      <c r="D42" s="53">
        <f>$B$3-C40-C41-C42</f>
        <v>66.655780535597657</v>
      </c>
      <c r="E42" s="54">
        <f t="shared" si="27"/>
        <v>63.344219464402357</v>
      </c>
      <c r="F42" s="1"/>
      <c r="G42" s="1"/>
      <c r="H42" s="1"/>
      <c r="I42" s="1"/>
      <c r="J42" s="1"/>
    </row>
    <row r="43" ht="14.4" customHeight="1">
      <c r="A43" s="60">
        <v>4</v>
      </c>
      <c r="B43" s="52">
        <f>H4/SUM($E$4:$J$4)</f>
        <v>0.18288700195950358</v>
      </c>
      <c r="C43" s="53">
        <f t="shared" si="26"/>
        <v>23.775310254735466</v>
      </c>
      <c r="D43" s="53">
        <f>$B$3-C40-C41-C42-C43</f>
        <v>42.880470280862191</v>
      </c>
      <c r="E43" s="54">
        <f t="shared" si="27"/>
        <v>87.11952971913783</v>
      </c>
      <c r="F43" s="1"/>
      <c r="G43" s="1"/>
      <c r="H43" s="1"/>
      <c r="I43" s="1"/>
      <c r="J43" s="1"/>
    </row>
    <row r="44" ht="14.4" customHeight="1">
      <c r="A44" s="61">
        <v>5</v>
      </c>
      <c r="B44" s="62">
        <f>I4/SUM($E$4:$J$4)</f>
        <v>0.15022860875244937</v>
      </c>
      <c r="C44" s="53">
        <f t="shared" si="26"/>
        <v>19.529719137818418</v>
      </c>
      <c r="D44" s="53">
        <f>$B$3-C40-C41-C42-C43-C44</f>
        <v>23.350751143043773</v>
      </c>
      <c r="E44" s="54">
        <f t="shared" si="27"/>
        <v>106.64924885695625</v>
      </c>
    </row>
    <row r="45" ht="14.4" customHeight="1">
      <c r="A45" s="63">
        <v>6</v>
      </c>
      <c r="B45" s="64">
        <f>J4/SUM($E$4:$J$4)</f>
        <v>0.17962116263879818</v>
      </c>
      <c r="C45" s="57">
        <f t="shared" si="26"/>
        <v>23.350751143043762</v>
      </c>
      <c r="D45" s="57">
        <f>$B$3-C40-C41-C42-C43-C44-C45</f>
        <v>1.0658141036401503e-014</v>
      </c>
      <c r="E45" s="58">
        <f t="shared" si="27"/>
        <v>130</v>
      </c>
    </row>
    <row r="46" ht="14.4" customHeight="1"/>
    <row r="47" ht="14.4" customHeight="1"/>
    <row r="48" ht="14.4" customHeight="1"/>
    <row r="49" ht="14.4" customHeight="1"/>
    <row r="50" ht="14.4" customHeight="1"/>
  </sheetData>
  <mergeCells count="7">
    <mergeCell ref="D2:D3"/>
    <mergeCell ref="E2:J2"/>
    <mergeCell ref="A6:E6"/>
    <mergeCell ref="A14:E14"/>
    <mergeCell ref="A22:E22"/>
    <mergeCell ref="A30:E30"/>
    <mergeCell ref="A38:E38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A41" activeCellId="0" sqref="A41:B41"/>
    </sheetView>
  </sheetViews>
  <sheetFormatPr defaultColWidth="9.109375" defaultRowHeight="14.25"/>
  <cols>
    <col bestFit="1" customWidth="1" min="1" max="1" style="46" width="61.05078125"/>
    <col bestFit="1" customWidth="1" min="2" max="2" style="46" width="40.94140625"/>
    <col bestFit="1" customWidth="1" min="3" max="4" style="46" width="10.7734375"/>
    <col bestFit="1" min="5" max="5" style="46" width="15.80078125"/>
    <col min="6" max="16384" style="46" width="9.109375"/>
  </cols>
  <sheetData>
    <row r="1">
      <c r="A1" s="46" t="s">
        <v>78</v>
      </c>
      <c r="B1" s="46"/>
      <c r="C1" s="46"/>
      <c r="D1" s="46"/>
    </row>
    <row r="2">
      <c r="A2" s="65" t="s">
        <v>79</v>
      </c>
      <c r="B2" s="66" t="s">
        <v>80</v>
      </c>
      <c r="C2" s="67" t="s">
        <v>81</v>
      </c>
      <c r="D2" s="68"/>
      <c r="G2" s="69" t="s">
        <v>4</v>
      </c>
      <c r="H2" s="69">
        <v>4</v>
      </c>
    </row>
    <row r="3">
      <c r="A3" s="70"/>
      <c r="B3" s="71"/>
      <c r="C3" s="71" t="s">
        <v>19</v>
      </c>
      <c r="D3" s="72" t="s">
        <v>20</v>
      </c>
    </row>
    <row r="4">
      <c r="A4" s="73" t="s">
        <v>82</v>
      </c>
      <c r="B4" s="74" t="s">
        <v>83</v>
      </c>
      <c r="C4" s="75">
        <f>45+$H$2</f>
        <v>49</v>
      </c>
      <c r="D4" s="76">
        <f>45+$H$2</f>
        <v>49</v>
      </c>
    </row>
    <row r="5">
      <c r="A5" s="77" t="s">
        <v>84</v>
      </c>
      <c r="B5" s="69" t="s">
        <v>85</v>
      </c>
      <c r="C5" s="78">
        <f>7.5+0.2*$H$2</f>
        <v>8.3000000000000007</v>
      </c>
      <c r="D5" s="79">
        <f>8+0.3*$H$2</f>
        <v>9.1999999999999993</v>
      </c>
    </row>
    <row r="6">
      <c r="A6" s="77" t="s">
        <v>86</v>
      </c>
      <c r="B6" s="69" t="s">
        <v>87</v>
      </c>
      <c r="C6" s="78">
        <f>200+5*$H$2</f>
        <v>220</v>
      </c>
      <c r="D6" s="79">
        <f>210+10*$H$2</f>
        <v>250</v>
      </c>
    </row>
    <row r="7">
      <c r="A7" s="77" t="s">
        <v>88</v>
      </c>
      <c r="B7" s="69" t="s">
        <v>89</v>
      </c>
      <c r="C7" s="78">
        <f>81+0.1*$H$2</f>
        <v>81.400000000000006</v>
      </c>
      <c r="D7" s="79">
        <f>83+0.2*$H$2</f>
        <v>83.799999999999997</v>
      </c>
    </row>
    <row r="8">
      <c r="A8" s="77" t="s">
        <v>90</v>
      </c>
      <c r="B8" s="69" t="s">
        <v>91</v>
      </c>
      <c r="C8" s="78">
        <f>62+0.1*$H$2</f>
        <v>62.399999999999999</v>
      </c>
      <c r="D8" s="79">
        <f>64+0.2*$H$2</f>
        <v>64.799999999999997</v>
      </c>
    </row>
    <row r="9">
      <c r="A9" s="77" t="s">
        <v>92</v>
      </c>
      <c r="B9" s="69" t="s">
        <v>93</v>
      </c>
      <c r="C9" s="78">
        <f>60-$H$2</f>
        <v>56</v>
      </c>
      <c r="D9" s="79">
        <f>54-$H$2</f>
        <v>50</v>
      </c>
    </row>
    <row r="10">
      <c r="A10" s="77" t="s">
        <v>94</v>
      </c>
      <c r="B10" s="69" t="s">
        <v>95</v>
      </c>
      <c r="C10" s="78">
        <v>7</v>
      </c>
      <c r="D10" s="79">
        <v>7</v>
      </c>
    </row>
    <row r="11">
      <c r="A11" s="77" t="s">
        <v>96</v>
      </c>
      <c r="B11" s="69" t="s">
        <v>97</v>
      </c>
      <c r="C11" s="78">
        <v>0.82999999999999996</v>
      </c>
      <c r="D11" s="79">
        <v>0.82999999999999996</v>
      </c>
    </row>
    <row r="12">
      <c r="A12" s="77" t="s">
        <v>98</v>
      </c>
      <c r="B12" s="69" t="s">
        <v>99</v>
      </c>
      <c r="C12" s="80">
        <f>30+$H$2</f>
        <v>34</v>
      </c>
      <c r="D12" s="79">
        <f>30+$H$2</f>
        <v>34</v>
      </c>
    </row>
    <row r="13">
      <c r="A13" s="77" t="s">
        <v>100</v>
      </c>
      <c r="B13" s="69" t="s">
        <v>101</v>
      </c>
      <c r="C13" s="78">
        <v>15</v>
      </c>
      <c r="D13" s="79">
        <v>15</v>
      </c>
    </row>
    <row r="14">
      <c r="A14" s="81" t="s">
        <v>102</v>
      </c>
      <c r="B14" s="82" t="s">
        <v>103</v>
      </c>
      <c r="C14" s="83">
        <f>20+$H$2</f>
        <v>24</v>
      </c>
      <c r="D14" s="84">
        <f>20+$H$2</f>
        <v>24</v>
      </c>
    </row>
    <row r="15">
      <c r="A15" s="46"/>
      <c r="B15" s="46"/>
      <c r="C15" s="46"/>
      <c r="D15" s="46"/>
    </row>
    <row r="16">
      <c r="A16" s="46" t="s">
        <v>104</v>
      </c>
      <c r="B16" s="46"/>
      <c r="C16" s="46"/>
      <c r="D16" s="46"/>
    </row>
    <row r="17">
      <c r="A17" s="65" t="s">
        <v>15</v>
      </c>
      <c r="B17" s="66" t="s">
        <v>48</v>
      </c>
      <c r="C17" s="66" t="s">
        <v>81</v>
      </c>
      <c r="D17" s="85"/>
    </row>
    <row r="18">
      <c r="A18" s="70"/>
      <c r="B18" s="71"/>
      <c r="C18" s="71" t="s">
        <v>19</v>
      </c>
      <c r="D18" s="72" t="s">
        <v>20</v>
      </c>
    </row>
    <row r="19">
      <c r="A19" s="73" t="s">
        <v>105</v>
      </c>
      <c r="B19" s="74" t="s">
        <v>106</v>
      </c>
      <c r="C19" s="75">
        <f>C4*C6</f>
        <v>10780</v>
      </c>
      <c r="D19" s="76">
        <f>D4*D6</f>
        <v>12250</v>
      </c>
    </row>
    <row r="20">
      <c r="A20" s="77" t="s">
        <v>107</v>
      </c>
      <c r="B20" s="69" t="s">
        <v>108</v>
      </c>
      <c r="C20" s="78">
        <f>C19/360</f>
        <v>29.944444444444443</v>
      </c>
      <c r="D20" s="79">
        <f>D19/360</f>
        <v>34.027777777777779</v>
      </c>
    </row>
    <row r="21">
      <c r="A21" s="77" t="s">
        <v>109</v>
      </c>
      <c r="B21" s="69" t="s">
        <v>110</v>
      </c>
      <c r="C21" s="78">
        <f>C9*C20</f>
        <v>1676.8888888888887</v>
      </c>
      <c r="D21" s="79">
        <f>D9*D20</f>
        <v>1701.3888888888889</v>
      </c>
    </row>
    <row r="22">
      <c r="A22" s="77" t="s">
        <v>111</v>
      </c>
      <c r="B22" s="69" t="s">
        <v>112</v>
      </c>
      <c r="C22" s="78">
        <f>C20*C10</f>
        <v>209.61111111111109</v>
      </c>
      <c r="D22" s="79">
        <f>D20*D10</f>
        <v>238.19444444444446</v>
      </c>
    </row>
    <row r="23">
      <c r="A23" s="77" t="s">
        <v>113</v>
      </c>
      <c r="B23" s="69" t="s">
        <v>114</v>
      </c>
      <c r="C23" s="78">
        <f>(C21/2+C22)*C5</f>
        <v>8698.8611111111113</v>
      </c>
      <c r="D23" s="79">
        <f>(D21/2+D22)*D5</f>
        <v>10017.777777777777</v>
      </c>
    </row>
    <row r="24">
      <c r="A24" s="77" t="s">
        <v>115</v>
      </c>
      <c r="B24" s="69" t="s">
        <v>116</v>
      </c>
      <c r="C24" s="78">
        <f>C6/360</f>
        <v>0.61111111111111116</v>
      </c>
      <c r="D24" s="79">
        <f>D6/360</f>
        <v>0.69444444444444442</v>
      </c>
    </row>
    <row r="25">
      <c r="A25" s="77" t="s">
        <v>117</v>
      </c>
      <c r="B25" s="69" t="s">
        <v>118</v>
      </c>
      <c r="C25" s="78">
        <f>C11*C24*C8*C12</f>
        <v>1076.1226666666666</v>
      </c>
      <c r="D25" s="79">
        <f>D11*D24*D8*D12</f>
        <v>1269.8999999999999</v>
      </c>
    </row>
    <row r="26">
      <c r="A26" s="77" t="s">
        <v>119</v>
      </c>
      <c r="B26" s="69" t="s">
        <v>120</v>
      </c>
      <c r="C26" s="78">
        <f>C13</f>
        <v>15</v>
      </c>
      <c r="D26" s="79">
        <f>D13</f>
        <v>15</v>
      </c>
    </row>
    <row r="27">
      <c r="A27" s="77" t="s">
        <v>121</v>
      </c>
      <c r="B27" s="69" t="s">
        <v>122</v>
      </c>
      <c r="C27" s="78">
        <f>C6*C7</f>
        <v>17908</v>
      </c>
      <c r="D27" s="79">
        <f>D6*D7</f>
        <v>20950</v>
      </c>
    </row>
    <row r="28">
      <c r="A28" s="77" t="s">
        <v>123</v>
      </c>
      <c r="B28" s="69" t="s">
        <v>124</v>
      </c>
      <c r="C28" s="78">
        <f>C27/360*C14</f>
        <v>1193.8666666666668</v>
      </c>
      <c r="D28" s="79">
        <f>D27/360*D14</f>
        <v>1396.6666666666665</v>
      </c>
    </row>
    <row r="29">
      <c r="A29" s="81" t="s">
        <v>125</v>
      </c>
      <c r="B29" s="82" t="s">
        <v>126</v>
      </c>
      <c r="C29" s="83">
        <f>C23+C25+C26+C28</f>
        <v>10983.850444444444</v>
      </c>
      <c r="D29" s="84">
        <f>D23+D25+D26+D28</f>
        <v>12699.344444444443</v>
      </c>
    </row>
    <row r="30">
      <c r="A30" s="46"/>
      <c r="B30" s="46"/>
      <c r="C30" s="46"/>
      <c r="D30" s="46"/>
    </row>
    <row r="31">
      <c r="A31" s="46" t="s">
        <v>127</v>
      </c>
      <c r="B31" s="46"/>
      <c r="C31" s="46"/>
      <c r="D31" s="46"/>
    </row>
    <row r="32">
      <c r="A32" s="65" t="s">
        <v>15</v>
      </c>
      <c r="B32" s="66" t="s">
        <v>48</v>
      </c>
      <c r="C32" s="66" t="s">
        <v>81</v>
      </c>
      <c r="D32" s="85"/>
    </row>
    <row r="33">
      <c r="A33" s="70"/>
      <c r="B33" s="71"/>
      <c r="C33" s="71" t="s">
        <v>19</v>
      </c>
      <c r="D33" s="72" t="s">
        <v>20</v>
      </c>
    </row>
    <row r="34">
      <c r="A34" s="73" t="s">
        <v>128</v>
      </c>
      <c r="B34" s="74" t="s">
        <v>129</v>
      </c>
      <c r="C34" s="75">
        <f>C27/C29</f>
        <v>1.630393648436623</v>
      </c>
      <c r="D34" s="76">
        <f>D27/D29</f>
        <v>1.6496914538895711</v>
      </c>
      <c r="E34" s="86">
        <f t="shared" ref="E34:E36" si="28">D34-C34</f>
        <v>1.9297805452948014e-002</v>
      </c>
    </row>
    <row r="35">
      <c r="A35" s="77" t="s">
        <v>130</v>
      </c>
      <c r="B35" s="69" t="s">
        <v>131</v>
      </c>
      <c r="C35" s="78">
        <f>C29/C27</f>
        <v>0.61334880748517107</v>
      </c>
      <c r="D35" s="79">
        <f>D29/D27</f>
        <v>0.60617395916202588</v>
      </c>
      <c r="E35" s="86">
        <f t="shared" si="28"/>
        <v>-7.1748483231451887e-003</v>
      </c>
    </row>
    <row r="36">
      <c r="A36" s="81" t="s">
        <v>132</v>
      </c>
      <c r="B36" s="82" t="s">
        <v>133</v>
      </c>
      <c r="C36" s="83">
        <f>360/C34</f>
        <v>220.80557069466158</v>
      </c>
      <c r="D36" s="84">
        <f>360/D34</f>
        <v>218.22262529832932</v>
      </c>
      <c r="E36" s="86">
        <f t="shared" si="28"/>
        <v>-2.5829453963322635</v>
      </c>
    </row>
    <row r="37">
      <c r="A37" s="46"/>
      <c r="B37" s="46"/>
      <c r="C37" s="46"/>
      <c r="D37" s="46"/>
    </row>
    <row r="38">
      <c r="A38" s="46">
        <f>(C36-D36)*D29/360</f>
        <v>91.11587019226522</v>
      </c>
      <c r="B38" s="46" t="s">
        <v>134</v>
      </c>
      <c r="C38" s="46"/>
      <c r="D38" s="46"/>
    </row>
    <row r="39">
      <c r="A39" s="46">
        <f>C29*D27/C27-D29</f>
        <v>150.31307236989232</v>
      </c>
      <c r="B39" s="46" t="s">
        <v>135</v>
      </c>
      <c r="C39" s="46"/>
      <c r="D39" s="46"/>
    </row>
    <row r="41" ht="76.200000000000003" customHeight="1">
      <c r="A41" s="87" t="s">
        <v>136</v>
      </c>
      <c r="B41" s="88"/>
    </row>
  </sheetData>
  <mergeCells count="10">
    <mergeCell ref="A2:A3"/>
    <mergeCell ref="B2:B3"/>
    <mergeCell ref="C2:D2"/>
    <mergeCell ref="A17:A18"/>
    <mergeCell ref="B17:B18"/>
    <mergeCell ref="C17:D17"/>
    <mergeCell ref="A32:A33"/>
    <mergeCell ref="B32:B33"/>
    <mergeCell ref="C32:D32"/>
    <mergeCell ref="A41:B4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" zoomScale="90" workbookViewId="0">
      <selection activeCell="A26" activeCellId="0" sqref="A26"/>
    </sheetView>
  </sheetViews>
  <sheetFormatPr defaultColWidth="9.109375" defaultRowHeight="14.25"/>
  <cols>
    <col bestFit="1" customWidth="1" min="1" max="1" style="1" width="72.37109375"/>
    <col bestFit="1" customWidth="1" min="2" max="2" style="1" width="10.7734375"/>
    <col bestFit="1" customWidth="1" min="3" max="3" style="1" width="14.54296875"/>
    <col min="4" max="4" style="1" width="9.109375"/>
    <col bestFit="1" customWidth="1" min="5" max="5" style="1" width="95.00390625"/>
    <col bestFit="1" customWidth="1" min="6" max="6" style="1" width="30.8828125"/>
    <col bestFit="1" customWidth="1" min="7" max="7" style="1" width="14.54296875"/>
    <col bestFit="1" customWidth="1" min="8" max="8" style="1" width="10.7734375"/>
    <col bestFit="1" customWidth="1" min="9" max="9" style="1" width="7.00390625"/>
    <col min="10" max="16384" style="1" width="9.109375"/>
  </cols>
  <sheetData>
    <row r="1">
      <c r="A1" s="1" t="s">
        <v>137</v>
      </c>
      <c r="E1" s="1" t="s">
        <v>138</v>
      </c>
    </row>
    <row r="2" ht="28.5">
      <c r="A2" s="89" t="s">
        <v>15</v>
      </c>
      <c r="B2" s="90" t="s">
        <v>63</v>
      </c>
      <c r="C2" s="91" t="s">
        <v>139</v>
      </c>
      <c r="E2" s="89" t="s">
        <v>15</v>
      </c>
      <c r="F2" s="90" t="s">
        <v>63</v>
      </c>
      <c r="G2" s="91" t="s">
        <v>139</v>
      </c>
    </row>
    <row r="3" ht="14.4" customHeight="1">
      <c r="A3" s="92" t="s">
        <v>140</v>
      </c>
      <c r="B3" s="9">
        <f>48+0.1*$C$18</f>
        <v>48.399999999999999</v>
      </c>
      <c r="C3" s="93" t="s">
        <v>87</v>
      </c>
      <c r="E3" s="94" t="s">
        <v>141</v>
      </c>
      <c r="F3" s="9">
        <v>504</v>
      </c>
      <c r="G3" s="23" t="s">
        <v>142</v>
      </c>
    </row>
    <row r="4" ht="16.800000000000001" customHeight="1">
      <c r="A4" s="95" t="s">
        <v>143</v>
      </c>
      <c r="B4" s="4">
        <f>980-5*$C$18</f>
        <v>960</v>
      </c>
      <c r="C4" s="96" t="s">
        <v>144</v>
      </c>
      <c r="E4" s="97" t="s">
        <v>145</v>
      </c>
      <c r="F4" s="4">
        <v>527</v>
      </c>
      <c r="G4" s="24" t="s">
        <v>146</v>
      </c>
    </row>
    <row r="5" ht="16.199999999999999" customHeight="1">
      <c r="A5" s="95" t="s">
        <v>147</v>
      </c>
      <c r="B5" s="4">
        <f>1.05+0.01*$C$18</f>
        <v>1.0900000000000001</v>
      </c>
      <c r="C5" s="96" t="s">
        <v>148</v>
      </c>
      <c r="E5" s="97" t="s">
        <v>149</v>
      </c>
      <c r="F5" s="4">
        <v>45</v>
      </c>
      <c r="G5" s="24" t="s">
        <v>150</v>
      </c>
    </row>
    <row r="6" ht="18" customHeight="1">
      <c r="A6" s="95" t="s">
        <v>151</v>
      </c>
      <c r="B6" s="4">
        <f>230+$C$18</f>
        <v>234</v>
      </c>
      <c r="C6" s="96" t="s">
        <v>152</v>
      </c>
      <c r="E6" s="98" t="s">
        <v>153</v>
      </c>
      <c r="F6" s="17">
        <v>119</v>
      </c>
      <c r="G6" s="26" t="s">
        <v>154</v>
      </c>
    </row>
    <row r="7">
      <c r="A7" s="95" t="s">
        <v>155</v>
      </c>
      <c r="B7" s="4">
        <v>2</v>
      </c>
      <c r="C7" s="96" t="s">
        <v>156</v>
      </c>
    </row>
    <row r="8">
      <c r="A8" s="95" t="s">
        <v>157</v>
      </c>
      <c r="B8" s="4">
        <v>6</v>
      </c>
      <c r="C8" s="96" t="s">
        <v>158</v>
      </c>
      <c r="E8" s="1" t="s">
        <v>159</v>
      </c>
    </row>
    <row r="9" ht="16.800000000000001" customHeight="1">
      <c r="A9" s="95" t="s">
        <v>160</v>
      </c>
      <c r="B9" s="4">
        <f>440+5*$C$18</f>
        <v>460</v>
      </c>
      <c r="C9" s="96" t="s">
        <v>161</v>
      </c>
      <c r="E9" s="89" t="s">
        <v>15</v>
      </c>
      <c r="F9" s="90" t="s">
        <v>48</v>
      </c>
      <c r="G9" s="91" t="s">
        <v>162</v>
      </c>
    </row>
    <row r="10" ht="17.399999999999999" customHeight="1">
      <c r="A10" s="95" t="s">
        <v>163</v>
      </c>
      <c r="B10" s="4">
        <v>1.1000000000000001</v>
      </c>
      <c r="C10" s="96" t="s">
        <v>164</v>
      </c>
      <c r="E10" s="94" t="s">
        <v>165</v>
      </c>
      <c r="F10" s="9" t="s">
        <v>166</v>
      </c>
      <c r="G10" s="99">
        <f>B4*B6</f>
        <v>224640</v>
      </c>
    </row>
    <row r="11" ht="17.399999999999999" customHeight="1">
      <c r="A11" s="95" t="s">
        <v>167</v>
      </c>
      <c r="B11" s="4">
        <f>105+$C$18</f>
        <v>109</v>
      </c>
      <c r="C11" s="96" t="s">
        <v>168</v>
      </c>
      <c r="E11" s="97" t="s">
        <v>169</v>
      </c>
      <c r="F11" s="4" t="s">
        <v>170</v>
      </c>
      <c r="G11" s="100">
        <f>B3*1000000/(G10*B5)</f>
        <v>197.66590867508299</v>
      </c>
    </row>
    <row r="12" ht="16.800000000000001" customHeight="1">
      <c r="A12" s="95" t="s">
        <v>171</v>
      </c>
      <c r="B12" s="4">
        <f>32-$C$18</f>
        <v>28</v>
      </c>
      <c r="C12" s="96" t="s">
        <v>172</v>
      </c>
      <c r="E12" s="97" t="s">
        <v>173</v>
      </c>
      <c r="F12" s="4" t="s">
        <v>108</v>
      </c>
      <c r="G12" s="100">
        <f>G10/360</f>
        <v>624</v>
      </c>
    </row>
    <row r="13" ht="16.800000000000001" customHeight="1">
      <c r="A13" s="95" t="s">
        <v>174</v>
      </c>
      <c r="B13" s="4">
        <f>21-$C$18</f>
        <v>17</v>
      </c>
      <c r="C13" s="96" t="s">
        <v>175</v>
      </c>
      <c r="E13" s="97" t="s">
        <v>176</v>
      </c>
      <c r="F13" s="4" t="s">
        <v>177</v>
      </c>
      <c r="G13" s="100">
        <f>(B9/B8)*B7</f>
        <v>153.33333333333334</v>
      </c>
    </row>
    <row r="14" ht="16.800000000000001" customHeight="1">
      <c r="A14" s="95" t="s">
        <v>178</v>
      </c>
      <c r="B14" s="4">
        <f>28+$C$18</f>
        <v>32</v>
      </c>
      <c r="C14" s="96" t="s">
        <v>179</v>
      </c>
      <c r="E14" s="97" t="s">
        <v>180</v>
      </c>
      <c r="F14" s="4" t="s">
        <v>181</v>
      </c>
      <c r="G14" s="100">
        <f>G13*B10</f>
        <v>168.66666666666669</v>
      </c>
    </row>
    <row r="15" ht="16.199999999999999" customHeight="1">
      <c r="A15" s="95" t="s">
        <v>182</v>
      </c>
      <c r="B15" s="4">
        <f>124+5*$C$18</f>
        <v>144</v>
      </c>
      <c r="C15" s="96" t="s">
        <v>89</v>
      </c>
      <c r="E15" s="97" t="s">
        <v>183</v>
      </c>
      <c r="F15" s="4" t="s">
        <v>184</v>
      </c>
      <c r="G15" s="100">
        <f>G14+G11+B11</f>
        <v>475.3325753417497</v>
      </c>
    </row>
    <row r="16" ht="15.6" customHeight="1">
      <c r="A16" s="101" t="s">
        <v>185</v>
      </c>
      <c r="B16" s="17">
        <f>1.1+0.1*$C$18</f>
        <v>1.5</v>
      </c>
      <c r="C16" s="102" t="s">
        <v>186</v>
      </c>
      <c r="E16" s="98" t="s">
        <v>187</v>
      </c>
      <c r="F16" s="17" t="s">
        <v>188</v>
      </c>
      <c r="G16" s="103">
        <f>G15+B12</f>
        <v>503.3325753417497</v>
      </c>
    </row>
    <row r="18">
      <c r="B18" s="4" t="s">
        <v>4</v>
      </c>
      <c r="C18" s="4">
        <v>4</v>
      </c>
      <c r="E18" s="1" t="s">
        <v>189</v>
      </c>
    </row>
    <row r="19">
      <c r="E19" s="89" t="s">
        <v>15</v>
      </c>
      <c r="F19" s="90" t="s">
        <v>48</v>
      </c>
      <c r="G19" s="91" t="s">
        <v>162</v>
      </c>
    </row>
    <row r="20">
      <c r="E20" s="94" t="s">
        <v>190</v>
      </c>
      <c r="F20" s="9" t="s">
        <v>191</v>
      </c>
      <c r="G20" s="104">
        <f>B13/G16</f>
        <v>3.377488530015655e-002</v>
      </c>
    </row>
    <row r="21" ht="15" customHeight="1">
      <c r="E21" s="97" t="s">
        <v>192</v>
      </c>
      <c r="F21" s="4" t="s">
        <v>193</v>
      </c>
      <c r="G21" s="54">
        <f>B14/G16</f>
        <v>6.3576254682647618e-002</v>
      </c>
    </row>
    <row r="22" ht="16.199999999999999" customHeight="1">
      <c r="E22" s="97" t="s">
        <v>194</v>
      </c>
      <c r="F22" s="4" t="s">
        <v>195</v>
      </c>
      <c r="G22" s="54">
        <f>(G16-B14-B13)/G16</f>
        <v>0.9026488600171958</v>
      </c>
    </row>
    <row r="23" ht="14.4" customHeight="1">
      <c r="E23" s="98" t="s">
        <v>196</v>
      </c>
      <c r="F23" s="17" t="s">
        <v>197</v>
      </c>
      <c r="G23" s="58">
        <f>(B14-B13)/G16</f>
        <v>2.9801369382491071e-002</v>
      </c>
      <c r="H23" s="25" t="s">
        <v>198</v>
      </c>
      <c r="I23" s="53">
        <f>F4*B3/F5-G16</f>
        <v>63.485202436028089</v>
      </c>
    </row>
    <row r="25">
      <c r="A25" s="1"/>
      <c r="B25" s="1"/>
      <c r="E25" s="1" t="s">
        <v>199</v>
      </c>
    </row>
    <row r="26">
      <c r="A26" s="1"/>
      <c r="B26" s="1"/>
      <c r="E26" s="105" t="s">
        <v>15</v>
      </c>
      <c r="F26" s="106" t="s">
        <v>48</v>
      </c>
      <c r="G26" s="106" t="s">
        <v>162</v>
      </c>
      <c r="H26" s="107"/>
    </row>
    <row r="27" ht="28.5">
      <c r="A27" s="1"/>
      <c r="B27" s="1"/>
      <c r="E27" s="108"/>
      <c r="F27" s="109"/>
      <c r="G27" s="109" t="s">
        <v>19</v>
      </c>
      <c r="H27" s="110" t="s">
        <v>20</v>
      </c>
    </row>
    <row r="28" ht="15.6" customHeight="1">
      <c r="A28" s="111" t="s">
        <v>200</v>
      </c>
      <c r="B28" s="112"/>
      <c r="C28" s="113"/>
      <c r="E28" s="94" t="s">
        <v>201</v>
      </c>
      <c r="F28" s="9" t="s">
        <v>202</v>
      </c>
      <c r="G28" s="114">
        <f>F5*1000/F4</f>
        <v>85.388994307400381</v>
      </c>
      <c r="H28" s="104">
        <f>B3*1000/G16</f>
        <v>96.159085207504518</v>
      </c>
    </row>
    <row r="29">
      <c r="A29" s="115"/>
      <c r="B29" s="116"/>
      <c r="C29" s="117"/>
      <c r="E29" s="97"/>
      <c r="F29" s="4" t="s">
        <v>203</v>
      </c>
      <c r="G29" s="53">
        <f>H28/G28</f>
        <v>1.1261297312078862</v>
      </c>
      <c r="H29" s="54"/>
    </row>
    <row r="30">
      <c r="A30" s="118"/>
      <c r="B30" s="119"/>
      <c r="C30" s="120"/>
      <c r="E30" s="97" t="s">
        <v>204</v>
      </c>
      <c r="F30" s="4" t="s">
        <v>205</v>
      </c>
      <c r="G30" s="53">
        <f>F5*B15/G16</f>
        <v>12.874191573236143</v>
      </c>
      <c r="H30" s="54">
        <f>B3*B15/G16</f>
        <v>13.84690826988065</v>
      </c>
    </row>
    <row r="31">
      <c r="E31" s="97"/>
      <c r="F31" s="4" t="s">
        <v>206</v>
      </c>
      <c r="G31" s="53">
        <f>H30/G30</f>
        <v>1.0755555555555554</v>
      </c>
      <c r="H31" s="54"/>
    </row>
    <row r="32">
      <c r="E32" s="97" t="s">
        <v>207</v>
      </c>
      <c r="F32" s="4" t="s">
        <v>208</v>
      </c>
      <c r="G32" s="53">
        <f>F5*60*B16/G16</f>
        <v>8.0463697332725896</v>
      </c>
      <c r="H32" s="54">
        <f>(B3*B16)/G16*60</f>
        <v>8.6543176686754055</v>
      </c>
    </row>
    <row r="33">
      <c r="E33" s="98"/>
      <c r="F33" s="17" t="s">
        <v>209</v>
      </c>
      <c r="G33" s="57">
        <f>H32/G32</f>
        <v>1.0755555555555554</v>
      </c>
      <c r="H33" s="58"/>
    </row>
  </sheetData>
  <mergeCells count="10">
    <mergeCell ref="E26:E27"/>
    <mergeCell ref="F26:F27"/>
    <mergeCell ref="G26:H26"/>
    <mergeCell ref="A28:C30"/>
    <mergeCell ref="E28:E29"/>
    <mergeCell ref="G29:H29"/>
    <mergeCell ref="E30:E31"/>
    <mergeCell ref="G31:H31"/>
    <mergeCell ref="E32:E33"/>
    <mergeCell ref="G33:H3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2015-06-05T18:19:34Z</dcterms:created>
  <dcterms:modified xsi:type="dcterms:W3CDTF">2023-02-28T06:52:11Z</dcterms:modified>
</cp:coreProperties>
</file>