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style4.xml" ContentType="application/vnd.ms-office.chartstyle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3.xml" ContentType="application/vnd.ms-office.chartstyle+xml"/>
  <Override PartName="/xl/worksheets/sheet4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charts/colors2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6.1" sheetId="1" state="visible" r:id="rId3"/>
    <sheet name="6.2" sheetId="2" state="visible" r:id="rId4"/>
    <sheet name="6.3" sheetId="3" state="visible" r:id="rId5"/>
    <sheet name="6.4" sheetId="4" state="visible" r:id="rId6"/>
  </sheets>
  <externalReferences>
    <externalReference r:id="rId1"/>
    <externalReference r:id="rId2"/>
  </externalReferences>
  <calcPr/>
</workbook>
</file>

<file path=xl/sharedStrings.xml><?xml version="1.0" encoding="utf-8"?>
<sst xmlns="http://schemas.openxmlformats.org/spreadsheetml/2006/main" count="124" uniqueCount="124">
  <si>
    <t>Показатель</t>
  </si>
  <si>
    <t>Обозначение</t>
  </si>
  <si>
    <t xml:space="preserve">Значения для проектов</t>
  </si>
  <si>
    <t>Вариант</t>
  </si>
  <si>
    <t>1-го</t>
  </si>
  <si>
    <t>2-го</t>
  </si>
  <si>
    <t xml:space="preserve">1. Инвестиции, тыс. руб.</t>
  </si>
  <si>
    <t>I</t>
  </si>
  <si>
    <t xml:space="preserve">2. Планируемая чистая прибыль по годам реализации проекта, тыс. руб.</t>
  </si>
  <si>
    <t xml:space="preserve">1-й год</t>
  </si>
  <si>
    <t>P1</t>
  </si>
  <si>
    <t xml:space="preserve">2-й год</t>
  </si>
  <si>
    <t>P2</t>
  </si>
  <si>
    <t xml:space="preserve">3-й год</t>
  </si>
  <si>
    <t>P3</t>
  </si>
  <si>
    <t xml:space="preserve">4-й год</t>
  </si>
  <si>
    <t>P4</t>
  </si>
  <si>
    <t xml:space="preserve">5-й год</t>
  </si>
  <si>
    <t>P5</t>
  </si>
  <si>
    <t xml:space="preserve">3. Жизненный цикл проекта, лет</t>
  </si>
  <si>
    <t>T</t>
  </si>
  <si>
    <t xml:space="preserve">4. Ставка банка по депозитам, %</t>
  </si>
  <si>
    <t>r</t>
  </si>
  <si>
    <t>Показатели</t>
  </si>
  <si>
    <t>Источник</t>
  </si>
  <si>
    <t xml:space="preserve">Значения по проектам</t>
  </si>
  <si>
    <t xml:space="preserve">1. Среднегодовая чистая прибыль, Pср , тыс. руб.</t>
  </si>
  <si>
    <t xml:space="preserve">п.2 табл. 6.2 (P1 + P2 + P3 + P4 + P5)/5</t>
  </si>
  <si>
    <t xml:space="preserve">2. Годовая рентабельность, Rгод , %</t>
  </si>
  <si>
    <t xml:space="preserve">( Pср / I ) · 100%</t>
  </si>
  <si>
    <t xml:space="preserve">3. Срок окупаемости, лет</t>
  </si>
  <si>
    <t xml:space="preserve">I / Pср</t>
  </si>
  <si>
    <t xml:space="preserve">Таким образом, годовая рентабельность 1-го и 2-го проектов превышает ставку банка по долгосрочным депозитам, которая составляет 10% (по условию). Следовательно, инвестирование в каждый проект явялется целесообразным. Оба проекта окупятся в
течении срока жизни. Годовая рентабельность первого проекта – 26%, второго – 21,95%, срок окупаемости первого проекта – 3,85 года, второго – 4,55 года. Годовая рентабельность 1-го проекта выше, чем 2-го. По рассчитанным показателям 1-й проект более предпочтителен.</t>
  </si>
  <si>
    <t xml:space="preserve">Значения по вариантам</t>
  </si>
  <si>
    <t xml:space="preserve">Ставка дисконта</t>
  </si>
  <si>
    <t xml:space="preserve">1. Норма дисконта, %</t>
  </si>
  <si>
    <t xml:space="preserve">собственный капитал</t>
  </si>
  <si>
    <t xml:space="preserve">заемный капитал</t>
  </si>
  <si>
    <t xml:space="preserve">2. Доля собственного капитала в общей сумме инвестирования</t>
  </si>
  <si>
    <t xml:space="preserve">3. Поток наличности по годам, тыс. долл</t>
  </si>
  <si>
    <t xml:space="preserve">0-й </t>
  </si>
  <si>
    <t xml:space="preserve">1-й </t>
  </si>
  <si>
    <t xml:space="preserve">2-й </t>
  </si>
  <si>
    <t xml:space="preserve">3-й </t>
  </si>
  <si>
    <t xml:space="preserve">4-й </t>
  </si>
  <si>
    <t xml:space="preserve">5-й </t>
  </si>
  <si>
    <t xml:space="preserve">6-й </t>
  </si>
  <si>
    <t xml:space="preserve">7-й </t>
  </si>
  <si>
    <t xml:space="preserve">8-й </t>
  </si>
  <si>
    <t xml:space="preserve">9-й </t>
  </si>
  <si>
    <t xml:space="preserve">10-й </t>
  </si>
  <si>
    <t xml:space="preserve">Год, t</t>
  </si>
  <si>
    <t xml:space="preserve">Поток наличности, Сi, тыс. долл.</t>
  </si>
  <si>
    <t xml:space="preserve">Коэффициент дисконтирования, Ki</t>
  </si>
  <si>
    <t xml:space="preserve">Текущая дисконтированная стоимость потока, ДCi, тыс. долл. </t>
  </si>
  <si>
    <t xml:space="preserve">rCK = 12%</t>
  </si>
  <si>
    <r>
      <t>r</t>
    </r>
    <r>
      <rPr>
        <b/>
        <vertAlign val="subscript"/>
        <sz val="11"/>
        <rFont val="Courier New"/>
      </rPr>
      <t xml:space="preserve">ЗК </t>
    </r>
    <r>
      <rPr>
        <b/>
        <sz val="11"/>
        <rFont val="Courier New"/>
      </rPr>
      <t xml:space="preserve"> = 18%</t>
    </r>
  </si>
  <si>
    <t xml:space="preserve">rCK+ЗК = 15%</t>
  </si>
  <si>
    <t>СК</t>
  </si>
  <si>
    <t>ЗК</t>
  </si>
  <si>
    <t>СК+ЗК</t>
  </si>
  <si>
    <t>Показтели</t>
  </si>
  <si>
    <t xml:space="preserve">Условие реализации проекта</t>
  </si>
  <si>
    <t xml:space="preserve">Значения по условия финансирования</t>
  </si>
  <si>
    <r>
      <rPr>
        <sz val="11"/>
        <rFont val="Courier New"/>
      </rPr>
      <t xml:space="preserve">1. Чистый дисконтированный доход, ЧДС</t>
    </r>
    <r>
      <rPr>
        <i/>
        <vertAlign val="subscript"/>
        <sz val="11"/>
        <rFont val="Courier New"/>
        <scheme val="minor"/>
      </rPr>
      <t>t</t>
    </r>
    <r>
      <rPr>
        <sz val="11"/>
        <rFont val="Courier New"/>
        <scheme val="minor"/>
      </rPr>
      <t xml:space="preserve"> , тыс. долл. </t>
    </r>
  </si>
  <si>
    <r>
      <t>ЧДС</t>
    </r>
    <r>
      <rPr>
        <i/>
        <vertAlign val="subscript"/>
        <sz val="11"/>
        <rFont val="Courier New"/>
        <scheme val="minor"/>
      </rPr>
      <t>t</t>
    </r>
    <r>
      <rPr>
        <sz val="11"/>
        <rFont val="Courier New"/>
        <scheme val="minor"/>
      </rPr>
      <t xml:space="preserve"> &gt; 0 </t>
    </r>
  </si>
  <si>
    <t xml:space="preserve">2. Индекс доходности (рентабельности), ИД  </t>
  </si>
  <si>
    <t xml:space="preserve">ИД &gt; 1 </t>
  </si>
  <si>
    <r>
      <t xml:space="preserve">3. Динамический срок окупаемости, </t>
    </r>
    <r>
      <rPr>
        <i/>
        <sz val="11"/>
        <rFont val="Courier New"/>
        <scheme val="minor"/>
      </rPr>
      <t>T</t>
    </r>
    <r>
      <rPr>
        <vertAlign val="subscript"/>
        <sz val="11"/>
        <rFont val="Courier New"/>
        <scheme val="minor"/>
      </rPr>
      <t>ок</t>
    </r>
    <r>
      <rPr>
        <sz val="11"/>
        <rFont val="Courier New"/>
        <scheme val="minor"/>
      </rPr>
      <t xml:space="preserve">, лет </t>
    </r>
  </si>
  <si>
    <r>
      <t>T</t>
    </r>
    <r>
      <rPr>
        <vertAlign val="subscript"/>
        <sz val="11"/>
        <rFont val="Courier New"/>
        <scheme val="minor"/>
      </rPr>
      <t>ок</t>
    </r>
    <r>
      <rPr>
        <sz val="11"/>
        <rFont val="Courier New"/>
        <scheme val="minor"/>
      </rPr>
      <t xml:space="preserve"> &lt; срок реализации проекта </t>
    </r>
  </si>
  <si>
    <t xml:space="preserve">4. Внутренняя норма доходности, ВНД, % </t>
  </si>
  <si>
    <r>
      <t xml:space="preserve">ВНД =</t>
    </r>
    <r>
      <rPr>
        <i/>
        <sz val="11"/>
        <rFont val="Courier New"/>
        <scheme val="minor"/>
      </rPr>
      <t xml:space="preserve"> r, </t>
    </r>
    <r>
      <rPr>
        <sz val="11"/>
        <rFont val="Courier New"/>
        <scheme val="minor"/>
      </rPr>
      <t xml:space="preserve">при котором ЧДС = 0  </t>
    </r>
  </si>
  <si>
    <t xml:space="preserve">Таким образом, во всех трех ситуациях финансирования проект может быть успешно реализован: чистый дисконтированный доход положительный, индекс доходности превышает единицу, а срок окупаемости – в пределах периода реализации проекта. </t>
  </si>
  <si>
    <t xml:space="preserve">Таблица 6.7</t>
  </si>
  <si>
    <t xml:space="preserve">1. Коэффициент эффективности инвестиций</t>
  </si>
  <si>
    <t xml:space="preserve">2. Годовой объем выпуска, шт.</t>
  </si>
  <si>
    <t xml:space="preserve">3. Инвестиции по, млн. руб.</t>
  </si>
  <si>
    <t>1-й</t>
  </si>
  <si>
    <t>2-й</t>
  </si>
  <si>
    <t>3-й</t>
  </si>
  <si>
    <t>4-й</t>
  </si>
  <si>
    <t>5-й</t>
  </si>
  <si>
    <t xml:space="preserve">4. Издержки производства на изделие, тыс. руб.</t>
  </si>
  <si>
    <t xml:space="preserve">Значения по вариантам технологий</t>
  </si>
  <si>
    <t>1-ый</t>
  </si>
  <si>
    <t>2-ой</t>
  </si>
  <si>
    <t>3-ий</t>
  </si>
  <si>
    <t>4-ый</t>
  </si>
  <si>
    <t>5ый</t>
  </si>
  <si>
    <t xml:space="preserve">1. Инвестиции, млн. руб. </t>
  </si>
  <si>
    <r>
      <t>I</t>
    </r>
    <r>
      <rPr>
        <i/>
        <vertAlign val="subscript"/>
        <sz val="11"/>
        <rFont val="Courier New"/>
      </rPr>
      <t>i</t>
    </r>
    <r>
      <rPr>
        <i/>
        <sz val="11"/>
        <rFont val="Courier New"/>
      </rPr>
      <t xml:space="preserve"> </t>
    </r>
  </si>
  <si>
    <t xml:space="preserve">2. Издержки производства на одно изделие, тыс. руб. </t>
  </si>
  <si>
    <r>
      <t>S</t>
    </r>
    <r>
      <rPr>
        <i/>
        <vertAlign val="subscript"/>
        <sz val="11"/>
        <rFont val="Courier New"/>
      </rPr>
      <t>i</t>
    </r>
    <r>
      <rPr>
        <sz val="11"/>
        <rFont val="Courier New"/>
      </rPr>
      <t xml:space="preserve"> </t>
    </r>
  </si>
  <si>
    <t xml:space="preserve">3. Годовой объем производства, шт. </t>
  </si>
  <si>
    <r>
      <t>V</t>
    </r>
    <r>
      <rPr>
        <i/>
        <vertAlign val="subscript"/>
        <sz val="11"/>
        <rFont val="Courier New"/>
      </rPr>
      <t>i</t>
    </r>
    <r>
      <rPr>
        <sz val="11"/>
        <rFont val="Courier New"/>
      </rPr>
      <t xml:space="preserve"> </t>
    </r>
  </si>
  <si>
    <t xml:space="preserve">4. Коэффициент эффективности инвестиций </t>
  </si>
  <si>
    <t xml:space="preserve">E </t>
  </si>
  <si>
    <t xml:space="preserve">ПЗ1 = I1 · E + S1  · V1 = </t>
  </si>
  <si>
    <t xml:space="preserve">ПЗ2 = I2 · E + S2  · V2 = </t>
  </si>
  <si>
    <t xml:space="preserve">Таким образом, наиболее эффективным является второй вариант предлагаемой технологии (имеет наименьшие приведенные затраты)</t>
  </si>
  <si>
    <t xml:space="preserve">ПЗ3 = I3 · E + S3  · V3 = </t>
  </si>
  <si>
    <t xml:space="preserve">ПЗ4 = I4 · E + S4  · V4 = </t>
  </si>
  <si>
    <t xml:space="preserve">ПЗ5 = I5 · E + S5  · V5 = </t>
  </si>
  <si>
    <t xml:space="preserve">Предприятие А</t>
  </si>
  <si>
    <t xml:space="preserve">Предприятие Б</t>
  </si>
  <si>
    <t xml:space="preserve">Количество случаев</t>
  </si>
  <si>
    <t>Прибыль</t>
  </si>
  <si>
    <t xml:space="preserve">Предприятие 1</t>
  </si>
  <si>
    <t xml:space="preserve">Предприятие 2</t>
  </si>
  <si>
    <t>X</t>
  </si>
  <si>
    <t>Y</t>
  </si>
  <si>
    <t>Z</t>
  </si>
  <si>
    <t>L</t>
  </si>
  <si>
    <t>Значение</t>
  </si>
  <si>
    <t>N</t>
  </si>
  <si>
    <t xml:space="preserve">Всего случаев</t>
  </si>
  <si>
    <t>V</t>
  </si>
  <si>
    <t xml:space="preserve">Среднее ожидаемое значение</t>
  </si>
  <si>
    <t>Q</t>
  </si>
  <si>
    <t>Дисперсия</t>
  </si>
  <si>
    <t xml:space="preserve">Среднее квадратическое отклонение</t>
  </si>
  <si>
    <t xml:space="preserve">Таким образом, наиболее приемлемым вложением капитала будет вложение в предприятие Б, исходя из его более низкого значения коэффициента колеблемости.</t>
  </si>
  <si>
    <t xml:space="preserve">Коэффициент вариации</t>
  </si>
  <si>
    <t xml:space="preserve">Тип колеблемости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</si>
</sst>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0">
    <font>
      <name val="Calibri"/>
      <color theme="1"/>
      <sz val="11.000000"/>
      <scheme val="minor"/>
    </font>
    <font>
      <name val="Courier New"/>
      <color theme="1"/>
      <sz val="10.000000"/>
    </font>
    <font>
      <name val="Courier New"/>
      <color theme="1"/>
      <sz val="11.000000"/>
    </font>
    <font>
      <name val="Courier New"/>
      <b/>
      <color theme="1"/>
      <sz val="11.000000"/>
    </font>
    <font>
      <name val="Courier New"/>
      <b/>
      <sz val="11.000000"/>
    </font>
    <font>
      <name val="Courier New"/>
      <sz val="13.000000"/>
    </font>
    <font>
      <name val="Courier New"/>
      <i/>
      <sz val="13.000000"/>
    </font>
    <font>
      <name val="Courier New"/>
      <sz val="11.000000"/>
    </font>
    <font>
      <name val="Courier New"/>
      <i/>
      <sz val="11.000000"/>
    </font>
    <font>
      <name val="Courier New"/>
      <color theme="1"/>
      <sz val="12.000000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theme="2"/>
      </patternFill>
    </fill>
  </fills>
  <borders count="61">
    <border>
      <left/>
      <right/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fontId="0" fillId="0" borderId="0" numFmtId="0" applyNumberFormat="1" applyFont="1" applyFill="1" applyBorder="1"/>
  </cellStyleXfs>
  <cellXfs count="177">
    <xf fontId="0" fillId="0" borderId="0" numFmtId="0" xfId="0"/>
    <xf fontId="1" fillId="0" borderId="0" numFmtId="0" xfId="0" applyFont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2" borderId="7" numFmtId="0" xfId="0" applyFont="1" applyFill="1" applyBorder="1" applyAlignment="1">
      <alignment horizontal="center" vertical="center" wrapText="1"/>
    </xf>
    <xf fontId="1" fillId="2" borderId="8" numFmtId="0" xfId="0" applyFont="1" applyFill="1" applyBorder="1" applyAlignment="1">
      <alignment horizontal="center" vertical="center" wrapText="1"/>
    </xf>
    <xf fontId="1" fillId="0" borderId="9" numFmtId="0" xfId="0" applyFont="1" applyBorder="1" applyAlignment="1">
      <alignment horizontal="left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left" vertical="center" wrapText="1"/>
    </xf>
    <xf fontId="1" fillId="0" borderId="13" numFmtId="0" xfId="0" applyFont="1" applyBorder="1" applyAlignment="1">
      <alignment horizontal="left" vertical="center" wrapText="1"/>
    </xf>
    <xf fontId="1" fillId="0" borderId="14" numFmtId="0" xfId="0" applyFont="1" applyBorder="1" applyAlignment="1">
      <alignment horizontal="left" vertical="center" wrapText="1"/>
    </xf>
    <xf fontId="1" fillId="0" borderId="15" numFmtId="0" xfId="0" applyFont="1" applyBorder="1" applyAlignment="1">
      <alignment horizontal="left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1" fillId="0" borderId="6" numFmtId="0" xfId="0" applyFont="1" applyBorder="1" applyAlignment="1">
      <alignment horizontal="left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1" fillId="2" borderId="20" numFmtId="0" xfId="0" applyFont="1" applyFill="1" applyBorder="1" applyAlignment="1">
      <alignment horizontal="center" vertical="center" wrapText="1"/>
    </xf>
    <xf fontId="1" fillId="2" borderId="21" numFmtId="0" xfId="0" applyFont="1" applyFill="1" applyBorder="1" applyAlignment="1">
      <alignment horizontal="center" vertical="center" wrapText="1"/>
    </xf>
    <xf fontId="1" fillId="2" borderId="22" numFmtId="0" xfId="0" applyFont="1" applyFill="1" applyBorder="1" applyAlignment="1">
      <alignment horizontal="center" vertical="center"/>
    </xf>
    <xf fontId="1" fillId="2" borderId="23" numFmtId="0" xfId="0" applyFont="1" applyFill="1" applyBorder="1" applyAlignment="1">
      <alignment horizontal="center" vertical="center"/>
    </xf>
    <xf fontId="1" fillId="2" borderId="24" numFmtId="0" xfId="0" applyFont="1" applyFill="1" applyBorder="1" applyAlignment="1">
      <alignment horizontal="center" vertical="center" wrapText="1"/>
    </xf>
    <xf fontId="1" fillId="2" borderId="25" numFmtId="0" xfId="0" applyFont="1" applyFill="1" applyBorder="1" applyAlignment="1">
      <alignment horizontal="center" vertical="center" wrapText="1"/>
    </xf>
    <xf fontId="1" fillId="0" borderId="10" numFmtId="2" xfId="0" applyNumberFormat="1" applyFont="1" applyBorder="1" applyAlignment="1">
      <alignment horizontal="center" vertical="center" wrapText="1"/>
    </xf>
    <xf fontId="1" fillId="0" borderId="11" numFmtId="2" xfId="0" applyNumberFormat="1" applyFont="1" applyBorder="1" applyAlignment="1">
      <alignment horizontal="center" vertical="center" wrapText="1"/>
    </xf>
    <xf fontId="1" fillId="0" borderId="16" numFmtId="2" xfId="0" applyNumberFormat="1" applyFont="1" applyBorder="1" applyAlignment="1">
      <alignment horizontal="center" vertical="center" wrapText="1"/>
    </xf>
    <xf fontId="1" fillId="0" borderId="17" numFmtId="2" xfId="0" applyNumberFormat="1" applyFont="1" applyBorder="1" applyAlignment="1">
      <alignment horizontal="center" vertical="center" wrapText="1"/>
    </xf>
    <xf fontId="1" fillId="0" borderId="7" numFmtId="2" xfId="0" applyNumberFormat="1" applyFont="1" applyBorder="1" applyAlignment="1">
      <alignment horizontal="center" vertical="center" wrapText="1"/>
    </xf>
    <xf fontId="1" fillId="0" borderId="8" numFmtId="2" xfId="0" applyNumberFormat="1" applyFont="1" applyBorder="1" applyAlignment="1">
      <alignment horizontal="center" vertical="center" wrapText="1"/>
    </xf>
    <xf fontId="1" fillId="0" borderId="26" numFmtId="0" xfId="0" applyFont="1" applyBorder="1" applyAlignment="1">
      <alignment horizontal="center" vertical="center" wrapText="1"/>
    </xf>
    <xf fontId="1" fillId="0" borderId="27" numFmtId="0" xfId="0" applyFont="1" applyBorder="1" applyAlignment="1">
      <alignment horizontal="center" vertical="center" wrapText="1"/>
    </xf>
    <xf fontId="1" fillId="0" borderId="28" numFmtId="0" xfId="0" applyFont="1" applyBorder="1" applyAlignment="1">
      <alignment horizontal="center" vertical="center" wrapText="1"/>
    </xf>
    <xf fontId="1" fillId="0" borderId="29" numFmtId="0" xfId="0" applyFont="1" applyBorder="1" applyAlignment="1">
      <alignment horizontal="center" vertical="center" wrapText="1"/>
    </xf>
    <xf fontId="1" fillId="0" borderId="30" numFmtId="0" xfId="0" applyFont="1" applyBorder="1" applyAlignment="1">
      <alignment horizontal="center" vertical="center" wrapText="1"/>
    </xf>
    <xf fontId="1" fillId="0" borderId="31" numFmtId="0" xfId="0" applyFont="1" applyBorder="1" applyAlignment="1">
      <alignment horizontal="center" vertical="center" wrapText="1"/>
    </xf>
    <xf fontId="1" fillId="0" borderId="32" numFmtId="0" xfId="0" applyFont="1" applyBorder="1" applyAlignment="1">
      <alignment horizontal="center" vertical="center" wrapText="1"/>
    </xf>
    <xf fontId="1" fillId="0" borderId="33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2" borderId="34" numFmtId="0" xfId="0" applyFont="1" applyFill="1" applyBorder="1" applyAlignment="1">
      <alignment horizontal="center" vertical="center" wrapText="1"/>
    </xf>
    <xf fontId="3" fillId="2" borderId="35" numFmtId="0" xfId="0" applyFont="1" applyFill="1" applyBorder="1" applyAlignment="1">
      <alignment horizontal="center" vertical="center" wrapText="1"/>
    </xf>
    <xf fontId="3" fillId="2" borderId="3" numFmtId="0" xfId="0" applyFont="1" applyFill="1" applyBorder="1" applyAlignment="1">
      <alignment horizontal="center" vertical="center" wrapText="1"/>
    </xf>
    <xf fontId="2" fillId="0" borderId="36" numFmtId="0" xfId="0" applyFont="1" applyBorder="1" applyAlignment="1">
      <alignment horizontal="center" vertical="center" wrapText="1"/>
    </xf>
    <xf fontId="2" fillId="0" borderId="37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  <xf fontId="2" fillId="0" borderId="38" numFmtId="0" xfId="0" applyFont="1" applyBorder="1" applyAlignment="1">
      <alignment horizontal="left" vertical="center" wrapText="1"/>
    </xf>
    <xf fontId="2" fillId="0" borderId="17" numFmtId="0" xfId="0" applyFont="1" applyBorder="1" applyAlignment="1">
      <alignment horizontal="center" vertical="center" wrapText="1"/>
    </xf>
    <xf fontId="2" fillId="0" borderId="39" numFmtId="0" xfId="0" applyFont="1" applyBorder="1" applyAlignment="1">
      <alignment horizontal="center" vertical="center" wrapText="1"/>
    </xf>
    <xf fontId="2" fillId="0" borderId="9" numFmtId="0" xfId="0" applyFont="1" applyBorder="1" applyAlignment="1">
      <alignment horizontal="left" vertical="center" wrapText="1"/>
    </xf>
    <xf fontId="2" fillId="0" borderId="12" numFmtId="0" xfId="0" applyFont="1" applyBorder="1" applyAlignment="1">
      <alignment horizontal="left" vertical="center" wrapText="1"/>
    </xf>
    <xf fontId="2" fillId="0" borderId="37" numFmtId="0" xfId="0" applyFont="1" applyBorder="1" applyAlignment="1">
      <alignment horizontal="left" vertical="center" wrapText="1"/>
    </xf>
    <xf fontId="2" fillId="0" borderId="40" numFmtId="0" xfId="0" applyFont="1" applyBorder="1" applyAlignment="1">
      <alignment horizontal="left" vertical="center" wrapText="1"/>
    </xf>
    <xf fontId="2" fillId="0" borderId="24" numFmtId="0" xfId="0" applyFont="1" applyBorder="1" applyAlignment="1">
      <alignment horizontal="left" vertical="center" wrapText="1"/>
    </xf>
    <xf fontId="2" fillId="0" borderId="7" numFmtId="0" xfId="0" applyFont="1" applyBorder="1" applyAlignment="1">
      <alignment horizontal="center" vertical="center" wrapText="1"/>
    </xf>
    <xf fontId="2" fillId="0" borderId="8" numFmtId="0" xfId="0" applyFont="1" applyBorder="1" applyAlignment="1">
      <alignment horizontal="center" vertical="center" wrapText="1"/>
    </xf>
    <xf fontId="3" fillId="2" borderId="41" numFmtId="0" xfId="0" applyFont="1" applyFill="1" applyBorder="1" applyAlignment="1">
      <alignment horizontal="center" vertical="center" wrapText="1"/>
    </xf>
    <xf fontId="3" fillId="2" borderId="42" numFmtId="0" xfId="0" applyFont="1" applyFill="1" applyBorder="1" applyAlignment="1">
      <alignment horizontal="center" vertical="center" wrapText="1"/>
    </xf>
    <xf fontId="3" fillId="2" borderId="43" numFmtId="0" xfId="0" applyFont="1" applyFill="1" applyBorder="1" applyAlignment="1">
      <alignment horizontal="center" vertical="center" wrapText="1"/>
    </xf>
    <xf fontId="3" fillId="2" borderId="27" numFmtId="0" xfId="0" applyFont="1" applyFill="1" applyBorder="1" applyAlignment="1">
      <alignment horizontal="center" vertical="center" wrapText="1"/>
    </xf>
    <xf fontId="3" fillId="2" borderId="44" numFmtId="0" xfId="0" applyFont="1" applyFill="1" applyBorder="1" applyAlignment="1">
      <alignment horizontal="center" vertical="center" wrapText="1"/>
    </xf>
    <xf fontId="3" fillId="2" borderId="28" numFmtId="0" xfId="0" applyFont="1" applyFill="1" applyBorder="1" applyAlignment="1">
      <alignment horizontal="center" vertical="center" wrapText="1"/>
    </xf>
    <xf fontId="3" fillId="2" borderId="45" numFmtId="0" xfId="0" applyFont="1" applyFill="1" applyBorder="1" applyAlignment="1">
      <alignment horizontal="center" vertical="center" wrapText="1"/>
    </xf>
    <xf fontId="3" fillId="2" borderId="46" numFmtId="0" xfId="0" applyFont="1" applyFill="1" applyBorder="1" applyAlignment="1">
      <alignment horizontal="center" vertical="center" wrapText="1"/>
    </xf>
    <xf fontId="3" fillId="2" borderId="47" numFmtId="0" xfId="0" applyFont="1" applyFill="1" applyBorder="1" applyAlignment="1">
      <alignment horizontal="center" vertical="center" wrapText="1"/>
    </xf>
    <xf fontId="3" fillId="2" borderId="48" numFmtId="0" xfId="0" applyFont="1" applyFill="1" applyBorder="1" applyAlignment="1">
      <alignment horizontal="center" vertical="center" wrapText="1"/>
    </xf>
    <xf fontId="3" fillId="2" borderId="49" numFmtId="0" xfId="0" applyFont="1" applyFill="1" applyBorder="1" applyAlignment="1">
      <alignment horizontal="center" vertical="center" wrapText="1"/>
    </xf>
    <xf fontId="3" fillId="2" borderId="50" numFmtId="0" xfId="0" applyFont="1" applyFill="1" applyBorder="1" applyAlignment="1">
      <alignment horizontal="center" vertical="center" wrapText="1"/>
    </xf>
    <xf fontId="3" fillId="2" borderId="51" numFmtId="0" xfId="0" applyFont="1" applyFill="1" applyBorder="1" applyAlignment="1">
      <alignment horizontal="center" vertical="center" wrapText="1"/>
    </xf>
    <xf fontId="3" fillId="2" borderId="52" numFmtId="0" xfId="0" applyFont="1" applyFill="1" applyBorder="1" applyAlignment="1">
      <alignment horizontal="center" vertical="center" wrapText="1"/>
    </xf>
    <xf fontId="3" fillId="2" borderId="53" numFmtId="0" xfId="0" applyFont="1" applyFill="1" applyBorder="1" applyAlignment="1">
      <alignment horizontal="center" vertical="center" wrapText="1"/>
    </xf>
    <xf fontId="4" fillId="2" borderId="54" numFmtId="0" xfId="0" applyFont="1" applyFill="1" applyBorder="1" applyAlignment="1">
      <alignment horizontal="center" vertical="center" wrapText="1"/>
    </xf>
    <xf fontId="4" fillId="2" borderId="25" numFmtId="0" xfId="0" applyFont="1" applyFill="1" applyBorder="1" applyAlignment="1">
      <alignment horizontal="center" vertical="center" wrapText="1"/>
    </xf>
    <xf fontId="4" fillId="2" borderId="7" numFmtId="0" xfId="0" applyFont="1" applyFill="1" applyBorder="1" applyAlignment="1">
      <alignment horizontal="center" vertical="center" wrapText="1"/>
    </xf>
    <xf fontId="4" fillId="2" borderId="8" numFmtId="0" xfId="0" applyFont="1" applyFill="1" applyBorder="1" applyAlignment="1">
      <alignment horizontal="center" vertical="center" wrapText="1"/>
    </xf>
    <xf fontId="2" fillId="0" borderId="9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horizontal="center" vertical="center" wrapText="1"/>
    </xf>
    <xf fontId="5" fillId="0" borderId="10" numFmtId="2" xfId="0" applyNumberFormat="1" applyFont="1" applyBorder="1" applyAlignment="1">
      <alignment horizontal="right" vertical="center" wrapText="1"/>
    </xf>
    <xf fontId="6" fillId="0" borderId="10" numFmtId="2" xfId="0" applyNumberFormat="1" applyFont="1" applyBorder="1" applyAlignment="1">
      <alignment horizontal="right" vertical="center" wrapText="1"/>
    </xf>
    <xf fontId="2" fillId="0" borderId="10" numFmtId="2" xfId="0" applyNumberFormat="1" applyFont="1" applyBorder="1" applyAlignment="1">
      <alignment horizontal="right" vertical="center" wrapText="1"/>
    </xf>
    <xf fontId="2" fillId="0" borderId="11" numFmtId="2" xfId="0" applyNumberFormat="1" applyFont="1" applyBorder="1" applyAlignment="1">
      <alignment horizontal="right" vertical="center" wrapText="1"/>
    </xf>
    <xf fontId="2" fillId="0" borderId="15" numFmtId="0" xfId="0" applyFont="1" applyBorder="1" applyAlignment="1">
      <alignment horizontal="center" vertical="center" wrapText="1"/>
    </xf>
    <xf fontId="7" fillId="0" borderId="16" numFmtId="2" xfId="0" applyNumberFormat="1" applyFont="1" applyBorder="1" applyAlignment="1">
      <alignment horizontal="right" vertical="center" wrapText="1"/>
    </xf>
    <xf fontId="2" fillId="0" borderId="16" numFmtId="2" xfId="0" applyNumberFormat="1" applyFont="1" applyBorder="1" applyAlignment="1">
      <alignment horizontal="right" vertical="center" wrapText="1"/>
    </xf>
    <xf fontId="2" fillId="0" borderId="17" numFmtId="2" xfId="0" applyNumberFormat="1" applyFont="1" applyBorder="1" applyAlignment="1">
      <alignment horizontal="right" vertical="center" wrapText="1"/>
    </xf>
    <xf fontId="2" fillId="0" borderId="6" numFmtId="0" xfId="0" applyFont="1" applyBorder="1" applyAlignment="1">
      <alignment horizontal="center" vertical="center" wrapText="1"/>
    </xf>
    <xf fontId="7" fillId="0" borderId="7" numFmtId="2" xfId="0" applyNumberFormat="1" applyFont="1" applyBorder="1" applyAlignment="1">
      <alignment horizontal="right" vertical="center" wrapText="1"/>
    </xf>
    <xf fontId="2" fillId="0" borderId="7" numFmtId="2" xfId="0" applyNumberFormat="1" applyFont="1" applyBorder="1" applyAlignment="1">
      <alignment horizontal="right" vertical="center" wrapText="1"/>
    </xf>
    <xf fontId="2" fillId="0" borderId="8" numFmtId="2" xfId="0" applyNumberFormat="1" applyFont="1" applyBorder="1" applyAlignment="1">
      <alignment horizontal="right" vertical="center" wrapText="1"/>
    </xf>
    <xf fontId="3" fillId="2" borderId="20" numFmtId="0" xfId="0" applyFont="1" applyFill="1" applyBorder="1" applyAlignment="1">
      <alignment horizontal="center" vertical="center" wrapText="1"/>
    </xf>
    <xf fontId="3" fillId="2" borderId="21" numFmtId="0" xfId="0" applyFont="1" applyFill="1" applyBorder="1" applyAlignment="1">
      <alignment horizontal="center" vertical="center" wrapText="1"/>
    </xf>
    <xf fontId="3" fillId="2" borderId="22" numFmtId="0" xfId="0" applyFont="1" applyFill="1" applyBorder="1" applyAlignment="1">
      <alignment horizontal="center" vertical="center" wrapText="1"/>
    </xf>
    <xf fontId="3" fillId="2" borderId="55" numFmtId="0" xfId="0" applyFont="1" applyFill="1" applyBorder="1" applyAlignment="1">
      <alignment horizontal="center" vertical="center" wrapText="1"/>
    </xf>
    <xf fontId="3" fillId="2" borderId="23" numFmtId="0" xfId="0" applyFont="1" applyFill="1" applyBorder="1" applyAlignment="1">
      <alignment horizontal="center" vertical="center" wrapText="1"/>
    </xf>
    <xf fontId="3" fillId="2" borderId="24" numFmtId="0" xfId="0" applyFont="1" applyFill="1" applyBorder="1" applyAlignment="1">
      <alignment horizontal="center" vertical="center" wrapText="1"/>
    </xf>
    <xf fontId="3" fillId="2" borderId="25" numFmtId="0" xfId="0" applyFont="1" applyFill="1" applyBorder="1" applyAlignment="1">
      <alignment horizontal="center" vertical="center" wrapText="1"/>
    </xf>
    <xf fontId="3" fillId="2" borderId="7" numFmtId="0" xfId="0" applyFont="1" applyFill="1" applyBorder="1" applyAlignment="1">
      <alignment horizontal="center" vertical="center" wrapText="1"/>
    </xf>
    <xf fontId="3" fillId="2" borderId="8" numFmtId="0" xfId="0" applyFont="1" applyFill="1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0" numFmtId="0" xfId="0" applyFont="1" applyBorder="1" applyAlignment="1">
      <alignment horizontal="center" vertical="center" wrapText="1"/>
    </xf>
    <xf fontId="7" fillId="0" borderId="15" numFmtId="0" xfId="0" applyFont="1" applyBorder="1" applyAlignment="1">
      <alignment horizontal="left" vertical="center" wrapText="1"/>
    </xf>
    <xf fontId="7" fillId="0" borderId="16" numFmtId="0" xfId="0" applyFont="1" applyBorder="1" applyAlignment="1">
      <alignment horizontal="center" vertical="center" wrapText="1"/>
    </xf>
    <xf fontId="8" fillId="0" borderId="16" numFmtId="0" xfId="0" applyFont="1" applyBorder="1" applyAlignment="1">
      <alignment horizontal="center" vertical="center" wrapText="1"/>
    </xf>
    <xf fontId="7" fillId="0" borderId="6" numFmtId="0" xfId="0" applyFont="1" applyBorder="1" applyAlignment="1">
      <alignment horizontal="left" vertical="center" wrapText="1"/>
    </xf>
    <xf fontId="7" fillId="0" borderId="7" numFmtId="0" xfId="0" applyFont="1" applyBorder="1" applyAlignment="1">
      <alignment horizontal="center" vertical="center" wrapText="1"/>
    </xf>
    <xf fontId="2" fillId="0" borderId="18" numFmtId="0" xfId="0" applyFont="1" applyBorder="1" applyAlignment="1">
      <alignment horizontal="center" vertical="center" wrapText="1"/>
    </xf>
    <xf fontId="2" fillId="0" borderId="56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center" vertical="center" wrapText="1"/>
    </xf>
    <xf fontId="2" fillId="0" borderId="27" numFmtId="0" xfId="0" applyFont="1" applyBorder="1" applyAlignment="1">
      <alignment horizontal="center" vertical="center" wrapText="1"/>
    </xf>
    <xf fontId="2" fillId="0" borderId="28" numFmtId="0" xfId="0" applyFont="1" applyBorder="1" applyAlignment="1">
      <alignment horizontal="center" vertical="center" wrapText="1"/>
    </xf>
    <xf fontId="2" fillId="0" borderId="29" numFmtId="0" xfId="0" applyFont="1" applyBorder="1" applyAlignment="1">
      <alignment horizontal="center" vertical="center" wrapText="1"/>
    </xf>
    <xf fontId="2" fillId="0" borderId="30" numFmtId="0" xfId="0" applyFont="1" applyBorder="1" applyAlignment="1">
      <alignment horizontal="center" vertical="center" wrapText="1"/>
    </xf>
    <xf fontId="2" fillId="0" borderId="31" numFmtId="0" xfId="0" applyFont="1" applyBorder="1" applyAlignment="1">
      <alignment horizontal="center" vertical="center" wrapText="1"/>
    </xf>
    <xf fontId="2" fillId="0" borderId="32" numFmtId="0" xfId="0" applyFont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26" numFmtId="0" xfId="0" applyFont="1" applyBorder="1" applyAlignment="1">
      <alignment horizontal="left" vertical="center" wrapText="1"/>
    </xf>
    <xf fontId="2" fillId="0" borderId="0" numFmtId="0" xfId="0" applyFont="1" applyAlignment="1">
      <alignment horizontal="center" vertical="center" wrapText="1"/>
    </xf>
    <xf fontId="3" fillId="2" borderId="57" numFmtId="0" xfId="0" applyFont="1" applyFill="1" applyBorder="1" applyAlignment="1">
      <alignment horizontal="center" vertical="center" wrapText="1"/>
    </xf>
    <xf fontId="3" fillId="2" borderId="58" numFmtId="0" xfId="0" applyFont="1" applyFill="1" applyBorder="1" applyAlignment="1">
      <alignment horizontal="center" vertical="center" wrapText="1"/>
    </xf>
    <xf fontId="3" fillId="2" borderId="59" numFmtId="0" xfId="0" applyFont="1" applyFill="1" applyBorder="1" applyAlignment="1">
      <alignment horizontal="center" vertical="center" wrapText="1"/>
    </xf>
    <xf fontId="2" fillId="0" borderId="57" numFmtId="0" xfId="0" applyFont="1" applyBorder="1" applyAlignment="1">
      <alignment horizontal="center" vertical="center" wrapText="1"/>
    </xf>
    <xf fontId="2" fillId="0" borderId="59" numFmtId="0" xfId="0" applyFont="1" applyBorder="1" applyAlignment="1">
      <alignment horizontal="center" vertical="center" wrapText="1"/>
    </xf>
    <xf fontId="2" fillId="0" borderId="10" numFmtId="0" xfId="0" applyFont="1" applyBorder="1" applyAlignment="1">
      <alignment horizontal="left" vertical="center" wrapText="1"/>
    </xf>
    <xf fontId="2" fillId="0" borderId="11" numFmtId="0" xfId="0" applyFont="1" applyBorder="1" applyAlignment="1">
      <alignment horizontal="center" vertical="center" wrapText="1"/>
    </xf>
    <xf fontId="2" fillId="0" borderId="15" numFmtId="0" xfId="0" applyFont="1" applyBorder="1" applyAlignment="1">
      <alignment horizontal="left" vertical="center" wrapText="1"/>
    </xf>
    <xf fontId="2" fillId="0" borderId="16" numFmtId="0" xfId="0" applyFont="1" applyBorder="1" applyAlignment="1">
      <alignment horizontal="left" vertical="center" wrapText="1"/>
    </xf>
    <xf fontId="2" fillId="0" borderId="6" numFmtId="0" xfId="0" applyFont="1" applyBorder="1" applyAlignment="1">
      <alignment horizontal="left" vertical="center" wrapText="1"/>
    </xf>
    <xf fontId="3" fillId="2" borderId="1" numFmtId="0" xfId="0" applyFont="1" applyFill="1" applyBorder="1" applyAlignment="1">
      <alignment horizontal="center" vertical="center" wrapText="1"/>
    </xf>
    <xf fontId="3" fillId="2" borderId="2" numFmtId="0" xfId="0" applyFont="1" applyFill="1" applyBorder="1" applyAlignment="1">
      <alignment horizontal="center" vertical="center" wrapText="1"/>
    </xf>
    <xf fontId="3" fillId="2" borderId="6" numFmtId="0" xfId="0" applyFont="1" applyFill="1" applyBorder="1" applyAlignment="1">
      <alignment horizontal="center" vertical="center" wrapText="1"/>
    </xf>
    <xf fontId="8" fillId="0" borderId="10" numFmtId="0" xfId="0" applyFont="1" applyBorder="1" applyAlignment="1">
      <alignment horizontal="center" vertical="center" wrapText="1"/>
    </xf>
    <xf fontId="8" fillId="0" borderId="7" numFmtId="0" xfId="0" applyFont="1" applyBorder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0" borderId="0" numFmtId="0" xfId="0" applyFont="1" applyAlignment="1">
      <alignment horizontal="center" shrinkToFit="1" vertical="center" wrapText="1"/>
    </xf>
    <xf fontId="2" fillId="2" borderId="26" numFmtId="0" xfId="0" applyFont="1" applyFill="1" applyBorder="1" applyAlignment="1">
      <alignment horizontal="center" shrinkToFit="1" vertical="center" wrapText="1"/>
    </xf>
    <xf fontId="2" fillId="2" borderId="28" numFmtId="0" xfId="0" applyFont="1" applyFill="1" applyBorder="1" applyAlignment="1">
      <alignment horizontal="center" shrinkToFit="1" vertical="center" wrapText="1"/>
    </xf>
    <xf fontId="2" fillId="3" borderId="4" numFmtId="0" xfId="0" applyFont="1" applyFill="1" applyBorder="1" applyAlignment="1">
      <alignment horizontal="center" shrinkToFit="1" vertical="center" wrapText="1"/>
    </xf>
    <xf fontId="2" fillId="3" borderId="60" numFmtId="0" xfId="0" applyFont="1" applyFill="1" applyBorder="1" applyAlignment="1">
      <alignment horizontal="center" shrinkToFit="1" vertical="center" wrapText="1"/>
    </xf>
    <xf fontId="2" fillId="3" borderId="5" numFmtId="0" xfId="0" applyFont="1" applyFill="1" applyBorder="1" applyAlignment="1">
      <alignment horizontal="center" shrinkToFit="1" vertical="center" wrapText="1"/>
    </xf>
    <xf fontId="2" fillId="2" borderId="6" numFmtId="0" xfId="0" applyFont="1" applyFill="1" applyBorder="1" applyAlignment="1">
      <alignment horizontal="left" shrinkToFit="1" vertical="center" wrapText="1"/>
    </xf>
    <xf fontId="2" fillId="2" borderId="8" numFmtId="0" xfId="0" applyFont="1" applyFill="1" applyBorder="1" applyAlignment="1">
      <alignment horizontal="center" shrinkToFit="1" vertical="center" wrapText="1"/>
    </xf>
    <xf fontId="2" fillId="2" borderId="6" numFmtId="0" xfId="0" applyFont="1" applyFill="1" applyBorder="1" applyAlignment="1">
      <alignment horizontal="center" shrinkToFit="1" vertical="center" wrapText="1"/>
    </xf>
    <xf fontId="2" fillId="0" borderId="9" numFmtId="0" xfId="0" applyFont="1" applyBorder="1" applyAlignment="1">
      <alignment horizontal="center" shrinkToFit="1" vertical="center" wrapText="1"/>
    </xf>
    <xf fontId="2" fillId="0" borderId="10" numFmtId="0" xfId="0" applyFont="1" applyBorder="1" applyAlignment="1">
      <alignment horizontal="center" shrinkToFit="1" vertical="center" wrapText="1"/>
    </xf>
    <xf fontId="2" fillId="0" borderId="11" numFmtId="0" xfId="0" applyFont="1" applyBorder="1" applyAlignment="1">
      <alignment horizontal="center" shrinkToFit="1" vertical="center" wrapText="1"/>
    </xf>
    <xf fontId="2" fillId="0" borderId="11" numFmtId="2" xfId="0" applyNumberFormat="1" applyFont="1" applyBorder="1" applyAlignment="1">
      <alignment horizontal="right" shrinkToFit="1" vertical="center" wrapText="1"/>
    </xf>
    <xf fontId="2" fillId="0" borderId="15" numFmtId="0" xfId="0" applyFont="1" applyBorder="1" applyAlignment="1">
      <alignment horizontal="center" shrinkToFit="1" vertical="center" wrapText="1"/>
    </xf>
    <xf fontId="2" fillId="0" borderId="16" numFmtId="0" xfId="0" applyFont="1" applyBorder="1" applyAlignment="1">
      <alignment horizontal="center" shrinkToFit="1" vertical="center" wrapText="1"/>
    </xf>
    <xf fontId="2" fillId="0" borderId="17" numFmtId="0" xfId="0" applyFont="1" applyBorder="1" applyAlignment="1">
      <alignment horizontal="center" shrinkToFit="1" vertical="center" wrapText="1"/>
    </xf>
    <xf fontId="2" fillId="0" borderId="17" numFmtId="2" xfId="0" applyNumberFormat="1" applyFont="1" applyBorder="1" applyAlignment="1">
      <alignment horizontal="right" shrinkToFit="1" vertical="center" wrapText="1"/>
    </xf>
    <xf fontId="2" fillId="0" borderId="6" numFmtId="0" xfId="0" applyFont="1" applyBorder="1" applyAlignment="1">
      <alignment horizontal="center" shrinkToFit="1" vertical="center" wrapText="1"/>
    </xf>
    <xf fontId="2" fillId="0" borderId="8" numFmtId="2" xfId="0" applyNumberFormat="1" applyFont="1" applyBorder="1" applyAlignment="1">
      <alignment horizontal="right" shrinkToFit="1" vertical="center" wrapText="1"/>
    </xf>
    <xf fontId="2" fillId="3" borderId="57" numFmtId="0" xfId="0" applyFont="1" applyFill="1" applyBorder="1" applyAlignment="1">
      <alignment horizontal="center" shrinkToFit="1" vertical="center" wrapText="1"/>
    </xf>
    <xf fontId="2" fillId="3" borderId="59" numFmtId="0" xfId="0" applyFont="1" applyFill="1" applyBorder="1" applyAlignment="1">
      <alignment horizontal="center" shrinkToFit="1" vertical="center" wrapText="1"/>
    </xf>
    <xf fontId="2" fillId="0" borderId="9" numFmtId="0" xfId="0" applyFont="1" applyBorder="1" applyAlignment="1">
      <alignment horizontal="left" shrinkToFit="1" vertical="center" wrapText="1"/>
    </xf>
    <xf fontId="2" fillId="0" borderId="15" numFmtId="0" xfId="0" applyFont="1" applyBorder="1" applyAlignment="1">
      <alignment horizontal="left" shrinkToFit="1" vertical="center" wrapText="1"/>
    </xf>
    <xf fontId="2" fillId="0" borderId="7" numFmtId="0" xfId="0" applyFont="1" applyBorder="1" applyAlignment="1">
      <alignment horizontal="center" shrinkToFit="1" vertical="center" wrapText="1"/>
    </xf>
    <xf fontId="2" fillId="0" borderId="8" numFmtId="0" xfId="0" applyFont="1" applyBorder="1" applyAlignment="1">
      <alignment horizontal="center" shrinkToFit="1" vertical="center" wrapText="1"/>
    </xf>
    <xf fontId="9" fillId="0" borderId="26" numFmtId="0" xfId="0" applyFont="1" applyBorder="1" applyAlignment="1">
      <alignment horizontal="center" vertical="center" wrapText="1"/>
    </xf>
    <xf fontId="9" fillId="0" borderId="27" numFmtId="0" xfId="0" applyFont="1" applyBorder="1" applyAlignment="1">
      <alignment horizontal="center" vertical="center" wrapText="1"/>
    </xf>
    <xf fontId="9" fillId="0" borderId="28" numFmtId="0" xfId="0" applyFont="1" applyBorder="1" applyAlignment="1">
      <alignment horizontal="center" vertical="center" wrapText="1"/>
    </xf>
    <xf fontId="9" fillId="0" borderId="29" numFmtId="0" xfId="0" applyFont="1" applyBorder="1" applyAlignment="1">
      <alignment horizontal="center" vertical="center" wrapText="1"/>
    </xf>
    <xf fontId="9" fillId="0" borderId="0" numFmtId="0" xfId="0" applyFont="1" applyAlignment="1">
      <alignment horizontal="center" vertical="center" wrapText="1"/>
    </xf>
    <xf fontId="9" fillId="0" borderId="30" numFmtId="0" xfId="0" applyFont="1" applyBorder="1" applyAlignment="1">
      <alignment horizontal="center" vertical="center" wrapText="1"/>
    </xf>
    <xf fontId="2" fillId="0" borderId="6" numFmtId="0" xfId="0" applyFont="1" applyBorder="1" applyAlignment="1">
      <alignment horizontal="left" shrinkToFit="1" vertical="center" wrapText="1"/>
    </xf>
    <xf fontId="2" fillId="0" borderId="0" numFmtId="0" xfId="0" applyFont="1" applyAlignment="1">
      <alignment horizontal="center" shrinkToFit="1" vertical="center"/>
    </xf>
    <xf fontId="9" fillId="0" borderId="31" numFmtId="0" xfId="0" applyFont="1" applyBorder="1" applyAlignment="1">
      <alignment horizontal="center" vertical="center" wrapText="1"/>
    </xf>
    <xf fontId="9" fillId="0" borderId="32" numFmtId="0" xfId="0" applyFont="1" applyBorder="1" applyAlignment="1">
      <alignment horizontal="center" vertical="center" wrapText="1"/>
    </xf>
    <xf fontId="9" fillId="0" borderId="33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 xml:space="preserve">Точка СК</c:v>
          </c:tx>
          <c:spPr bwMode="auto">
            <a:prstGeom prst="rect">
              <a:avLst/>
            </a:prstGeom>
            <a:ln w="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[1]Решение!$S$8</c:f>
              <c:numCache>
                <c:formatCode>General</c:formatCode>
                <c:ptCount val="1"/>
                <c:pt idx="0">
                  <c:v>196.8999085567692</c:v>
                </c:pt>
              </c:numCache>
            </c:numRef>
          </c:xVal>
          <c:yVal>
            <c:numRef>
              <c:f>[1]Решение!$G$7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</c:ser>
        <c:ser>
          <c:idx val="2"/>
          <c:order val="1"/>
          <c:tx>
            <c:v xml:space="preserve">Точка ЗК</c:v>
          </c:tx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[1]Решение!$T$8</c:f>
              <c:numCache>
                <c:formatCode>General</c:formatCode>
                <c:ptCount val="1"/>
                <c:pt idx="0">
                  <c:v>86.18934769663181</c:v>
                </c:pt>
              </c:numCache>
            </c:numRef>
          </c:xVal>
          <c:yVal>
            <c:numRef>
              <c:f>[1]Решение!$H$7</c:f>
              <c:numCache>
                <c:formatCode>General</c:formatCode>
                <c:ptCount val="1"/>
                <c:pt idx="0">
                  <c:v>0.17</c:v>
                </c:pt>
              </c:numCache>
            </c:numRef>
          </c:yVal>
          <c:smooth val="0"/>
        </c:ser>
        <c:ser>
          <c:idx val="3"/>
          <c:order val="2"/>
          <c:tx>
            <c:v xml:space="preserve">Точка ВНД</c:v>
          </c:tx>
          <c:spPr bwMode="auto">
            <a:prstGeom prst="rect">
              <a:avLst/>
            </a:prstGeom>
            <a:ln w="508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[1]Решение!$S$14</c:f>
              <c:numCache>
                <c:formatCode>General</c:formatCode>
                <c:ptCount val="1"/>
                <c:pt idx="0">
                  <c:v>0.22449574360287222</c:v>
                </c:pt>
              </c:numCache>
            </c:numRef>
          </c:yVal>
          <c:smooth val="0"/>
        </c:ser>
        <c:ser>
          <c:idx val="0"/>
          <c:order val="3"/>
          <c:tx>
            <c:v xml:space="preserve">Отрезок от СК до ЗК</c:v>
          </c:tx>
          <c:spPr bwMode="auto">
            <a:prstGeom prst="rect">
              <a:avLst/>
            </a:prstGeom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noFill/>
              <a:ln w="0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xVal>
            <c:numRef>
              <c:f>([1]Решение!$S$8,[1]Решение!$T$8)</c:f>
              <c:numCache>
                <c:formatCode>General</c:formatCode>
                <c:ptCount val="2"/>
                <c:pt idx="0">
                  <c:v>196.8999085567692</c:v>
                </c:pt>
                <c:pt idx="1">
                  <c:v>86.18934769663181</c:v>
                </c:pt>
              </c:numCache>
            </c:numRef>
          </c:xVal>
          <c:yVal>
            <c:numRef>
              <c:f>([1]Решение!$G$7,[1]Решение!$H$7)</c:f>
              <c:numCache>
                <c:formatCode>General</c:formatCode>
                <c:ptCount val="2"/>
                <c:pt idx="0">
                  <c:v>0.1</c:v>
                </c:pt>
                <c:pt idx="1">
                  <c:v>0.17</c:v>
                </c:pt>
              </c:numCache>
            </c:numRef>
          </c:yVal>
          <c:smooth val="0"/>
        </c:ser>
        <c:ser>
          <c:idx val="4"/>
          <c:order val="4"/>
          <c:tx>
            <c:v xml:space="preserve">Продолжение отрезка от СК до ЗК</c:v>
          </c:tx>
          <c:spPr bwMode="auto">
            <a:prstGeom prst="rect">
              <a:avLst/>
            </a:prstGeom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Ref>
              <c:f>([1]Решение!$W$21,[1]Решение!$T$8)</c:f>
              <c:numCache>
                <c:formatCode>General</c:formatCode>
                <c:ptCount val="2"/>
                <c:pt idx="0">
                  <c:v>0</c:v>
                </c:pt>
                <c:pt idx="1">
                  <c:v>86.18934769663181</c:v>
                </c:pt>
              </c:numCache>
            </c:numRef>
          </c:xVal>
          <c:yVal>
            <c:numRef>
              <c:f>([1]Решение!$S$14,[1]Решение!$H$7)</c:f>
              <c:numCache>
                <c:formatCode>General</c:formatCode>
                <c:ptCount val="2"/>
                <c:pt idx="0">
                  <c:v>0.22449574360287222</c:v>
                </c:pt>
                <c:pt idx="1">
                  <c:v>0.17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00100888"/>
        <c:axId val="400101872"/>
      </c:scatterChart>
      <c:valAx>
        <c:axId val="40010088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ЧДС,</a:t>
                </a:r>
                <a:r>
                  <a:rPr lang="ru-RU">
                    <a:solidFill>
                      <a:schemeClr val="tx1"/>
                    </a:solidFill>
                  </a:rPr>
                  <a:t> тыс. долл</a:t>
                </a:r>
                <a:r>
                  <a:rPr lang="ru-RU"/>
                  <a:t>.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1872"/>
        <c:crosses val="autoZero"/>
        <c:crossBetween val="midCat"/>
      </c:valAx>
      <c:valAx>
        <c:axId val="4001018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r, %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0888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30438086" y="731519"/>
      <a:ext cx="6610351" cy="2926079"/>
    </a:xfrm>
    <a:prstGeom prst="rect">
      <a:avLst/>
    </a:prstGeom>
    <a:solidFill>
      <a:schemeClr val="bg1"/>
    </a:solidFill>
    <a:ln w="9525" cap="flat" cmpd="sng" algn="ctr">
      <a:solidFill>
        <a:schemeClr val="tx1">
          <a:alpha val="97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СК</c:v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[1]Решение!$M$8:$M$18</c:f>
              <c:numCache>
                <c:formatCode>General</c:formatCode>
                <c:ptCount val="11"/>
                <c:pt idx="0">
                  <c:v>-115</c:v>
                </c:pt>
                <c:pt idx="1">
                  <c:v>-183.1818181818182</c:v>
                </c:pt>
                <c:pt idx="2">
                  <c:v>-145.9917355371901</c:v>
                </c:pt>
                <c:pt idx="3">
                  <c:v>-97.15627347858756</c:v>
                </c:pt>
                <c:pt idx="4">
                  <c:v>-59.59053343350869</c:v>
                </c:pt>
                <c:pt idx="5">
                  <c:v>-19.230647434663616</c:v>
                </c:pt>
                <c:pt idx="6">
                  <c:v>20.282527669100787</c:v>
                </c:pt>
                <c:pt idx="7">
                  <c:v>71.59833949217143</c:v>
                </c:pt>
                <c:pt idx="8">
                  <c:v>118.24907751314475</c:v>
                </c:pt>
                <c:pt idx="9">
                  <c:v>156.41786316666838</c:v>
                </c:pt>
                <c:pt idx="10">
                  <c:v>196.8999085567692</c:v>
                </c:pt>
              </c:numCache>
            </c:numRef>
          </c:val>
          <c:smooth val="0"/>
        </c:ser>
        <c:ser>
          <c:idx val="1"/>
          <c:order val="1"/>
          <c:tx>
            <c:v>ЗК</c:v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[1]Решение!$N$8:$N$18</c:f>
              <c:numCache>
                <c:formatCode>General</c:formatCode>
                <c:ptCount val="11"/>
                <c:pt idx="0">
                  <c:v>-115</c:v>
                </c:pt>
                <c:pt idx="1">
                  <c:v>-179.1025641025641</c:v>
                </c:pt>
                <c:pt idx="2">
                  <c:v>-146.22945430637736</c:v>
                </c:pt>
                <c:pt idx="3">
                  <c:v>-105.6453681382456</c:v>
                </c:pt>
                <c:pt idx="4">
                  <c:v>-76.29461548542184</c:v>
                </c:pt>
                <c:pt idx="5">
                  <c:v>-46.64739058357966</c:v>
                </c:pt>
                <c:pt idx="6">
                  <c:v>-19.358689161765678</c:v>
                </c:pt>
                <c:pt idx="7">
                  <c:v>13.960848593806947</c:v>
                </c:pt>
                <c:pt idx="8">
                  <c:v>42.43908599173227</c:v>
                </c:pt>
                <c:pt idx="9">
                  <c:v>64.34542245167484</c:v>
                </c:pt>
                <c:pt idx="10">
                  <c:v>86.18934769663181</c:v>
                </c:pt>
              </c:numCache>
            </c:numRef>
          </c:val>
          <c:smooth val="0"/>
        </c:ser>
        <c:ser>
          <c:idx val="2"/>
          <c:order val="2"/>
          <c:tx>
            <c:v>СК+ЗК</c:v>
          </c:tx>
          <c:spPr bwMode="auto">
            <a:prstGeom prst="rect">
              <a:avLst/>
            </a:prstGeom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25400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[1]Решение!$O$8:$O$18</c:f>
              <c:numCache>
                <c:formatCode>General</c:formatCode>
                <c:ptCount val="11"/>
                <c:pt idx="0">
                  <c:v>-115</c:v>
                </c:pt>
                <c:pt idx="1">
                  <c:v>-181.3716814159292</c:v>
                </c:pt>
                <c:pt idx="2">
                  <c:v>-146.1300806641084</c:v>
                </c:pt>
                <c:pt idx="3">
                  <c:v>-101.08182011605817</c:v>
                </c:pt>
                <c:pt idx="4">
                  <c:v>-67.34929009369245</c:v>
                </c:pt>
                <c:pt idx="5">
                  <c:v>-32.069894253728286</c:v>
                </c:pt>
                <c:pt idx="6">
                  <c:v>1.5524026665915471</c:v>
                </c:pt>
                <c:pt idx="7">
                  <c:v>44.058467041205745</c:v>
                </c:pt>
                <c:pt idx="8">
                  <c:v>81.6744532134307</c:v>
                </c:pt>
                <c:pt idx="9">
                  <c:v>111.63408821785765</c:v>
                </c:pt>
                <c:pt idx="10">
                  <c:v>142.56586477110082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400102528"/>
        <c:axId val="400101544"/>
      </c:lineChart>
      <c:catAx>
        <c:axId val="40010252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Период</a:t>
                </a:r>
                <a:r>
                  <a:rPr lang="ru-RU">
                    <a:solidFill>
                      <a:schemeClr val="tx1"/>
                    </a:solidFill>
                  </a:rPr>
                  <a:t> реализации проекта, </a:t>
                </a:r>
                <a:r>
                  <a:rPr lang="en-US">
                    <a:solidFill>
                      <a:schemeClr val="tx1"/>
                    </a:solidFill>
                  </a:rPr>
                  <a:t>t, </a:t>
                </a:r>
                <a:r>
                  <a:rPr lang="ru-RU">
                    <a:solidFill>
                      <a:schemeClr val="tx1"/>
                    </a:solidFill>
                  </a:rPr>
                  <a:t>лет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1544"/>
        <c:crosses val="autoZero"/>
        <c:auto val="1"/>
        <c:lblAlgn val="ctr"/>
        <c:lblOffset val="100"/>
        <c:noMultiLvlLbl val="0"/>
      </c:catAx>
      <c:valAx>
        <c:axId val="4001015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chemeClr val="tx1"/>
                    </a:solidFill>
                  </a:rPr>
                  <a:t>Накопленная</a:t>
                </a:r>
                <a:r>
                  <a:rPr lang="ru-RU">
                    <a:solidFill>
                      <a:schemeClr val="tx1"/>
                    </a:solidFill>
                  </a:rPr>
                  <a:t> дисконтированная стоимость потока ЧДС</a:t>
                </a:r>
                <a:r>
                  <a:rPr lang="en-US">
                    <a:solidFill>
                      <a:schemeClr val="tx1"/>
                    </a:solidFill>
                  </a:rPr>
                  <a:t>t, </a:t>
                </a:r>
                <a:r>
                  <a:rPr lang="ru-RU">
                    <a:solidFill>
                      <a:schemeClr val="tx1"/>
                    </a:solidFill>
                  </a:rPr>
                  <a:t>тыс. долл.</a:t>
                </a:r>
                <a:endParaRPr lang="ru-RU">
                  <a:solidFill>
                    <a:schemeClr val="tx1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02528"/>
        <c:crosses val="autoZero"/>
        <c:crossesAt val="1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 bwMode="auto">
    <a:xfrm>
      <a:off x="37658039" y="731519"/>
      <a:ext cx="6095999" cy="2926079"/>
    </a:xfrm>
    <a:prstGeom prst="rect">
      <a:avLst/>
    </a:prstGeom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Определение</a:t>
            </a:r>
            <a:r>
              <a:rPr lang="ru-RU"/>
              <a:t> ВНД (графический метод)</a:t>
            </a:r>
            <a:endParaRPr lang="en-US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80"/>
            <c:dispRSqr val="0"/>
            <c:dispEq val="0"/>
          </c:trendline>
          <c:xVal>
            <c:numRef>
              <c:f>'6.2'!$D$43:$D$44</c:f>
              <c:numCache>
                <c:formatCode>General</c:formatCode>
                <c:ptCount val="2"/>
                <c:pt idx="0">
                  <c:v>81.85568490121804</c:v>
                </c:pt>
                <c:pt idx="1">
                  <c:v>29.094813039757582</c:v>
                </c:pt>
              </c:numCache>
            </c:numRef>
          </c:xVal>
          <c:yVal>
            <c:numRef>
              <c:f>'6.2'!$C$43:$C$44</c:f>
              <c:numCache>
                <c:formatCode>General</c:formatCode>
                <c:ptCount val="2"/>
                <c:pt idx="0">
                  <c:v>9</c:v>
                </c:pt>
                <c:pt idx="1">
                  <c:v>20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76164416"/>
        <c:axId val="476166912"/>
      </c:scatterChart>
      <c:valAx>
        <c:axId val="476164416"/>
        <c:scaling>
          <c:orientation val="minMax"/>
          <c:max val="130"/>
          <c:min val="-20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ЧДС, тыс. долл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66912"/>
        <c:crosses val="autoZero"/>
        <c:crossBetween val="midCat"/>
        <c:majorUnit val="20"/>
      </c:valAx>
      <c:valAx>
        <c:axId val="4761669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 %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6441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7928609" y="7671434"/>
      <a:ext cx="7351394" cy="2743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Финансовый профиль проекта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СК</c:v>
          </c:tx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[2]Аркуш1!$I$22:$I$32</c:f>
              <c:numCache>
                <c:formatCode>General</c:formatCode>
                <c:ptCount val="11"/>
                <c:pt idx="0">
                  <c:v>-106</c:v>
                </c:pt>
                <c:pt idx="1">
                  <c:v>-152.42857142857142</c:v>
                </c:pt>
                <c:pt idx="2">
                  <c:v>-126.91836734693877</c:v>
                </c:pt>
                <c:pt idx="3">
                  <c:v>-72.82306851311954</c:v>
                </c:pt>
                <c:pt idx="4">
                  <c:v>-43.589236906497305</c:v>
                </c:pt>
                <c:pt idx="5">
                  <c:v>-7.273918140506957</c:v>
                </c:pt>
                <c:pt idx="6">
                  <c:v>31.736678190146733</c:v>
                </c:pt>
                <c:pt idx="7">
                  <c:v>72.44810757046714</c:v>
                </c:pt>
                <c:pt idx="8">
                  <c:v>108.79759808861036</c:v>
                </c:pt>
                <c:pt idx="9">
                  <c:v>143.416160486842</c:v>
                </c:pt>
                <c:pt idx="10">
                  <c:v>171.10585883364183</c:v>
                </c:pt>
              </c:numCache>
            </c:numRef>
          </c:yVal>
          <c:smooth val="0"/>
        </c:ser>
        <c:ser>
          <c:idx val="1"/>
          <c:order val="1"/>
          <c:tx>
            <c:v>ЗК</c:v>
          </c:tx>
          <c:spPr bwMode="auto">
            <a:prstGeom prst="rect">
              <a:avLst/>
            </a:prstGeom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[2]Аркуш1!$J$22:$J$32</c:f>
              <c:numCache>
                <c:formatCode>General</c:formatCode>
                <c:ptCount val="11"/>
                <c:pt idx="0">
                  <c:v>-106</c:v>
                </c:pt>
                <c:pt idx="1">
                  <c:v>-149.69747899159665</c:v>
                </c:pt>
                <c:pt idx="2">
                  <c:v>-127.10020478779748</c:v>
                </c:pt>
                <c:pt idx="3">
                  <c:v>-82.00060291046721</c:v>
                </c:pt>
                <c:pt idx="4">
                  <c:v>-59.061840345703914</c:v>
                </c:pt>
                <c:pt idx="5">
                  <c:v>-32.24268060611949</c:v>
                </c:pt>
                <c:pt idx="6">
                  <c:v>-5.127721310583773</c:v>
                </c:pt>
                <c:pt idx="7">
                  <c:v>21.504891770265456</c:v>
                </c:pt>
                <c:pt idx="8">
                  <c:v>43.88523889702951</c:v>
                </c:pt>
                <c:pt idx="9">
                  <c:v>63.94605424875079</c:v>
                </c:pt>
                <c:pt idx="10">
                  <c:v>79.0478585226306</c:v>
                </c:pt>
              </c:numCache>
            </c:numRef>
          </c:yVal>
          <c:smooth val="0"/>
        </c:ser>
        <c:ser>
          <c:idx val="2"/>
          <c:order val="2"/>
          <c:tx>
            <c:v xml:space="preserve">СК + ЗК</c:v>
          </c:tx>
          <c:spPr bwMode="auto"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[2]Аркуш1!$A$46:$A$56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[2]Аркуш1!$K$22:$K$32</c:f>
              <c:numCache>
                <c:formatCode>General</c:formatCode>
                <c:ptCount val="11"/>
                <c:pt idx="0">
                  <c:v>-106</c:v>
                </c:pt>
                <c:pt idx="1">
                  <c:v>-150.82758620689657</c:v>
                </c:pt>
                <c:pt idx="2">
                  <c:v>-127.04637336504163</c:v>
                </c:pt>
                <c:pt idx="3">
                  <c:v>-78.35639017589898</c:v>
                </c:pt>
                <c:pt idx="4">
                  <c:v>-52.95099967339714</c:v>
                </c:pt>
                <c:pt idx="5">
                  <c:v>-22.47976668688819</c:v>
                </c:pt>
                <c:pt idx="6">
                  <c:v>9.12428692250283</c:v>
                </c:pt>
                <c:pt idx="7">
                  <c:v>40.968944612216134</c:v>
                </c:pt>
                <c:pt idx="8">
                  <c:v>68.42123572403794</c:v>
                </c:pt>
                <c:pt idx="9">
                  <c:v>93.6647218038741</c:v>
                </c:pt>
                <c:pt idx="10">
                  <c:v>113.15951170029929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482154240"/>
        <c:axId val="482157568"/>
      </c:scatterChart>
      <c:valAx>
        <c:axId val="48215424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 реализации проекта, </a:t>
                </a:r>
                <a:r>
                  <a:rPr lang="en-US"/>
                  <a:t>t, </a:t>
                </a:r>
                <a:r>
                  <a:rPr lang="ru-RU"/>
                  <a:t>лет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57568"/>
        <c:crosses val="autoZero"/>
        <c:crossBetween val="midCat"/>
      </c:valAx>
      <c:valAx>
        <c:axId val="4821575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Накопленная дисконтированная стоимость потока, ЧДД</a:t>
                </a:r>
                <a:r>
                  <a:rPr lang="en-US"/>
                  <a:t>t</a:t>
                </a:r>
                <a:r>
                  <a:rPr lang="ru-RU"/>
                  <a:t>,</a:t>
                </a:r>
                <a:r>
                  <a:rPr lang="ru-RU"/>
                  <a:t> тыс. долл</a:t>
                </a:r>
                <a:endParaRPr lang="ru-RU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54240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 bwMode="auto">
    <a:xfrm>
      <a:off x="39218" y="7728807"/>
      <a:ext cx="7743825" cy="2743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21</xdr:col>
      <xdr:colOff>95246</xdr:colOff>
      <xdr:row>3</xdr:row>
      <xdr:rowOff>209548</xdr:rowOff>
    </xdr:from>
    <xdr:to>
      <xdr:col>31</xdr:col>
      <xdr:colOff>609598</xdr:colOff>
      <xdr:row>20</xdr:row>
      <xdr:rowOff>0</xdr:rowOff>
    </xdr:to>
    <xdr:graphicFrame>
      <xdr:nvGraphicFramePr>
        <xdr:cNvPr id="2" name="Диаграмма 1"/>
        <xdr:cNvGraphicFramePr>
          <a:graphicFrameLocks xmlns:a="http://schemas.openxmlformats.org/drawingml/2006/main"/>
        </xdr:cNvGraphicFramePr>
      </xdr:nvGraphicFramePr>
      <xdr:xfrm>
        <a:off x="30438086" y="731519"/>
        <a:ext cx="6610351" cy="29260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33</xdr:col>
      <xdr:colOff>0</xdr:colOff>
      <xdr:row>4</xdr:row>
      <xdr:rowOff>0</xdr:rowOff>
    </xdr:from>
    <xdr:to>
      <xdr:col>43</xdr:col>
      <xdr:colOff>0</xdr:colOff>
      <xdr:row>20</xdr:row>
      <xdr:rowOff>0</xdr:rowOff>
    </xdr:to>
    <xdr:graphicFrame>
      <xdr:nvGraphicFramePr>
        <xdr:cNvPr id="3" name="Диаграмма 2"/>
        <xdr:cNvGraphicFramePr>
          <a:graphicFrameLocks xmlns:a="http://schemas.openxmlformats.org/drawingml/2006/main"/>
        </xdr:cNvGraphicFramePr>
      </xdr:nvGraphicFramePr>
      <xdr:xfrm>
        <a:off x="37658039" y="731519"/>
        <a:ext cx="6095999" cy="292607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2</xdr:col>
      <xdr:colOff>171449</xdr:colOff>
      <xdr:row>41</xdr:row>
      <xdr:rowOff>173354</xdr:rowOff>
    </xdr:from>
    <xdr:to>
      <xdr:col>6</xdr:col>
      <xdr:colOff>200025</xdr:colOff>
      <xdr:row>56</xdr:row>
      <xdr:rowOff>173354</xdr:rowOff>
    </xdr:to>
    <xdr:graphicFrame>
      <xdr:nvGraphicFramePr>
        <xdr:cNvPr id="4" name="Диаграмма 3"/>
        <xdr:cNvGraphicFramePr>
          <a:graphicFrameLocks xmlns:a="http://schemas.openxmlformats.org/drawingml/2006/main"/>
        </xdr:cNvGraphicFramePr>
      </xdr:nvGraphicFramePr>
      <xdr:xfrm>
        <a:off x="7928609" y="7671434"/>
        <a:ext cx="7351394" cy="2743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0</xdr:col>
      <xdr:colOff>39218</xdr:colOff>
      <xdr:row>42</xdr:row>
      <xdr:rowOff>47847</xdr:rowOff>
    </xdr:from>
    <xdr:to>
      <xdr:col>2</xdr:col>
      <xdr:colOff>25884</xdr:colOff>
      <xdr:row>57</xdr:row>
      <xdr:rowOff>47847</xdr:rowOff>
    </xdr:to>
    <xdr:graphicFrame>
      <xdr:nvGraphicFramePr>
        <xdr:cNvPr id="5" name="Диаграмма 4"/>
        <xdr:cNvGraphicFramePr>
          <a:graphicFrameLocks xmlns:a="http://schemas.openxmlformats.org/drawingml/2006/main"/>
        </xdr:cNvGraphicFramePr>
      </xdr:nvGraphicFramePr>
      <xdr:xfrm>
        <a:off x="39218" y="7728807"/>
        <a:ext cx="7743825" cy="2743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BiZZNE$$_6_2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&#1047;&#1072;&#1076;&#1072;&#1095;&#1080;%20&#8212;%20&#1082;&#1086;&#1087;&#1080;&#1103;/6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ешение"/>
      <sheetName val="Исходные данные"/>
    </sheetNames>
    <sheetDataSet>
      <sheetData sheetId="0">
        <row r="7">
          <cell r="G7">
            <v>0.1</v>
          </cell>
          <cell r="H7">
            <v>0.17</v>
          </cell>
        </row>
        <row r="8">
          <cell r="M8">
            <v>-115</v>
          </cell>
          <cell r="N8">
            <v>-115</v>
          </cell>
          <cell r="O8">
            <v>-115</v>
          </cell>
          <cell r="S8">
            <v>196.89990855676919</v>
          </cell>
          <cell r="T8">
            <v>86.189347696631813</v>
          </cell>
        </row>
        <row r="9">
          <cell r="M9">
            <v>-183.18181818181819</v>
          </cell>
          <cell r="N9">
            <v>-179.10256410256409</v>
          </cell>
          <cell r="O9">
            <v>-181.3716814159292</v>
          </cell>
        </row>
        <row r="10">
          <cell r="M10">
            <v>-145.9917355371901</v>
          </cell>
          <cell r="N10">
            <v>-146.22945430637736</v>
          </cell>
          <cell r="O10">
            <v>-146.13008066410839</v>
          </cell>
        </row>
        <row r="11">
          <cell r="M11">
            <v>-97.156273478587565</v>
          </cell>
          <cell r="N11">
            <v>-105.6453681382456</v>
          </cell>
          <cell r="O11">
            <v>-101.08182011605817</v>
          </cell>
        </row>
        <row r="12">
          <cell r="M12">
            <v>-59.590533433508689</v>
          </cell>
          <cell r="N12">
            <v>-76.294615485421843</v>
          </cell>
          <cell r="O12">
            <v>-67.349290093692446</v>
          </cell>
        </row>
        <row r="13">
          <cell r="M13">
            <v>-19.230647434663616</v>
          </cell>
          <cell r="N13">
            <v>-46.647390583579657</v>
          </cell>
          <cell r="O13">
            <v>-32.069894253728286</v>
          </cell>
        </row>
        <row r="14">
          <cell r="M14">
            <v>20.282527669100787</v>
          </cell>
          <cell r="N14">
            <v>-19.358689161765678</v>
          </cell>
          <cell r="O14">
            <v>1.5524026665915471</v>
          </cell>
          <cell r="S14">
            <v>0.22449574360287222</v>
          </cell>
        </row>
        <row r="15">
          <cell r="M15">
            <v>71.598339492171434</v>
          </cell>
          <cell r="N15">
            <v>13.960848593806947</v>
          </cell>
          <cell r="O15">
            <v>44.058467041205745</v>
          </cell>
        </row>
        <row r="16">
          <cell r="M16">
            <v>118.24907751314475</v>
          </cell>
          <cell r="N16">
            <v>42.43908599173227</v>
          </cell>
          <cell r="O16">
            <v>81.674453213430695</v>
          </cell>
        </row>
        <row r="17">
          <cell r="M17">
            <v>156.41786316666838</v>
          </cell>
          <cell r="N17">
            <v>64.345422451674835</v>
          </cell>
          <cell r="O17">
            <v>111.63408821785765</v>
          </cell>
        </row>
        <row r="18">
          <cell r="M18">
            <v>196.89990855676919</v>
          </cell>
          <cell r="N18">
            <v>86.189347696631813</v>
          </cell>
          <cell r="O18">
            <v>142.56586477110082</v>
          </cell>
        </row>
        <row r="21">
          <cell r="W21">
            <v>0</v>
          </cell>
        </row>
      </sheetData>
      <sheetData sheetId="1">
        <row r="3">
          <cell r="P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ркуш1"/>
    </sheetNames>
    <sheetDataSet>
      <sheetData sheetId="0">
        <row r="22">
          <cell r="I22">
            <v>-106</v>
          </cell>
          <cell r="J22">
            <v>-106</v>
          </cell>
          <cell r="K22">
            <v>-106</v>
          </cell>
        </row>
        <row r="23">
          <cell r="I23">
            <v>-152.42857142857142</v>
          </cell>
          <cell r="J23">
            <v>-149.69747899159665</v>
          </cell>
          <cell r="K23">
            <v>-150.82758620689657</v>
          </cell>
        </row>
        <row r="24">
          <cell r="I24">
            <v>-126.91836734693877</v>
          </cell>
          <cell r="J24">
            <v>-127.10020478779748</v>
          </cell>
          <cell r="K24">
            <v>-127.04637336504163</v>
          </cell>
        </row>
        <row r="25">
          <cell r="I25">
            <v>-72.823068513119537</v>
          </cell>
          <cell r="J25">
            <v>-82.000602910467208</v>
          </cell>
          <cell r="K25">
            <v>-78.35639017589898</v>
          </cell>
        </row>
        <row r="26">
          <cell r="I26">
            <v>-43.589236906497305</v>
          </cell>
          <cell r="J26">
            <v>-59.061840345703914</v>
          </cell>
          <cell r="K26">
            <v>-52.950999673397142</v>
          </cell>
        </row>
        <row r="27">
          <cell r="I27">
            <v>-7.2739181405069573</v>
          </cell>
          <cell r="J27">
            <v>-32.242680606119492</v>
          </cell>
          <cell r="K27">
            <v>-22.47976668688819</v>
          </cell>
        </row>
        <row r="28">
          <cell r="I28">
            <v>31.736678190146733</v>
          </cell>
          <cell r="J28">
            <v>-5.1277213105837731</v>
          </cell>
          <cell r="K28">
            <v>9.1242869225028294</v>
          </cell>
        </row>
        <row r="29">
          <cell r="I29">
            <v>72.448107570467144</v>
          </cell>
          <cell r="J29">
            <v>21.504891770265456</v>
          </cell>
          <cell r="K29">
            <v>40.968944612216134</v>
          </cell>
        </row>
        <row r="30">
          <cell r="I30">
            <v>108.79759808861036</v>
          </cell>
          <cell r="J30">
            <v>43.88523889702951</v>
          </cell>
          <cell r="K30">
            <v>68.421235724037942</v>
          </cell>
        </row>
        <row r="31">
          <cell r="I31">
            <v>143.41616048684199</v>
          </cell>
          <cell r="J31">
            <v>63.946054248750791</v>
          </cell>
          <cell r="K31">
            <v>93.664721803874102</v>
          </cell>
        </row>
        <row r="32">
          <cell r="I32">
            <v>171.10585883364183</v>
          </cell>
          <cell r="J32">
            <v>79.047858522630605</v>
          </cell>
          <cell r="K32">
            <v>113.15951170029929</v>
          </cell>
        </row>
        <row r="46">
          <cell r="A46">
            <v>0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4</v>
          </cell>
        </row>
        <row r="51">
          <cell r="A51">
            <v>5</v>
          </cell>
        </row>
        <row r="52">
          <cell r="A52">
            <v>6</v>
          </cell>
        </row>
        <row r="53">
          <cell r="A53">
            <v>7</v>
          </cell>
        </row>
        <row r="54">
          <cell r="A54">
            <v>8</v>
          </cell>
        </row>
        <row r="55">
          <cell r="A55">
            <v>9</v>
          </cell>
        </row>
        <row r="56">
          <cell r="A56">
            <v>10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8" activeCellId="0" sqref="C18"/>
    </sheetView>
  </sheetViews>
  <sheetFormatPr defaultRowHeight="14.25"/>
  <cols>
    <col customWidth="1" min="1" max="1" style="1" width="67.28125"/>
    <col customWidth="1" min="2" max="2" style="1" width="48.7109375"/>
    <col customWidth="1" min="3" max="4" style="1" width="14.140625"/>
    <col customWidth="1" min="5" max="5" style="1" width="12.88671875"/>
    <col customWidth="1" min="6" max="7" style="1" width="8.8515625"/>
    <col customWidth="1" min="8" max="8" style="1" width="12.109375"/>
    <col customWidth="1" min="9" max="9" style="1" width="13.5546875"/>
    <col min="10" max="16384" style="1" width="8.88671875"/>
  </cols>
  <sheetData>
    <row r="1" ht="14.4" customHeight="1"/>
    <row r="2" ht="14.4" customHeight="1">
      <c r="A2" s="2" t="s">
        <v>0</v>
      </c>
      <c r="B2" s="3" t="s">
        <v>1</v>
      </c>
      <c r="C2" s="4" t="s">
        <v>2</v>
      </c>
      <c r="D2" s="5"/>
      <c r="F2" s="6" t="s">
        <v>3</v>
      </c>
      <c r="G2" s="7">
        <v>4</v>
      </c>
    </row>
    <row r="3" ht="14.4" customHeight="1">
      <c r="A3" s="8"/>
      <c r="B3" s="9"/>
      <c r="C3" s="9" t="s">
        <v>4</v>
      </c>
      <c r="D3" s="10" t="s">
        <v>5</v>
      </c>
    </row>
    <row r="4" ht="14.4" customHeight="1">
      <c r="A4" s="11" t="s">
        <v>6</v>
      </c>
      <c r="B4" s="12" t="s">
        <v>7</v>
      </c>
      <c r="C4" s="12">
        <f>600+50*$G$2</f>
        <v>800</v>
      </c>
      <c r="D4" s="13">
        <f>720+40*$G$2</f>
        <v>880</v>
      </c>
    </row>
    <row r="5" ht="14.4" customHeight="1">
      <c r="A5" s="14" t="s">
        <v>8</v>
      </c>
      <c r="B5" s="15"/>
      <c r="C5" s="15"/>
      <c r="D5" s="16"/>
    </row>
    <row r="6" ht="14.4" customHeight="1">
      <c r="A6" s="17" t="s">
        <v>9</v>
      </c>
      <c r="B6" s="18" t="s">
        <v>10</v>
      </c>
      <c r="C6" s="18">
        <f>100+10*$G$2</f>
        <v>140</v>
      </c>
      <c r="D6" s="19">
        <f>110+10*$G$2</f>
        <v>150</v>
      </c>
    </row>
    <row r="7" ht="14.4" customHeight="1">
      <c r="A7" s="17" t="s">
        <v>11</v>
      </c>
      <c r="B7" s="18" t="s">
        <v>12</v>
      </c>
      <c r="C7" s="18">
        <f>150+10*$G$2</f>
        <v>190</v>
      </c>
      <c r="D7" s="19">
        <f>170+5*$G$2</f>
        <v>190</v>
      </c>
    </row>
    <row r="8" ht="14.4" customHeight="1">
      <c r="A8" s="17" t="s">
        <v>13</v>
      </c>
      <c r="B8" s="18" t="s">
        <v>14</v>
      </c>
      <c r="C8" s="18">
        <f>160+15*$G$2</f>
        <v>220</v>
      </c>
      <c r="D8" s="19">
        <f>170+7*$G$2</f>
        <v>198</v>
      </c>
    </row>
    <row r="9" ht="14.4" customHeight="1">
      <c r="A9" s="17" t="s">
        <v>15</v>
      </c>
      <c r="B9" s="18" t="s">
        <v>16</v>
      </c>
      <c r="C9" s="18">
        <f>170+15*$G$2</f>
        <v>230</v>
      </c>
      <c r="D9" s="19">
        <f>170+10*$G$2</f>
        <v>210</v>
      </c>
    </row>
    <row r="10" ht="14.4" customHeight="1">
      <c r="A10" s="17" t="s">
        <v>17</v>
      </c>
      <c r="B10" s="18" t="s">
        <v>18</v>
      </c>
      <c r="C10" s="18">
        <f>180+20*$G$2</f>
        <v>260</v>
      </c>
      <c r="D10" s="19">
        <f>170+12*$G$2</f>
        <v>218</v>
      </c>
    </row>
    <row r="11" ht="14.4" customHeight="1">
      <c r="A11" s="17" t="s">
        <v>19</v>
      </c>
      <c r="B11" s="18" t="s">
        <v>20</v>
      </c>
      <c r="C11" s="18">
        <v>7</v>
      </c>
      <c r="D11" s="19">
        <v>7</v>
      </c>
      <c r="F11" s="20"/>
      <c r="G11" s="20"/>
      <c r="H11" s="20"/>
      <c r="I11" s="20"/>
      <c r="J11" s="20"/>
      <c r="K11" s="20"/>
      <c r="L11" s="20"/>
    </row>
    <row r="12" ht="14.4" customHeight="1">
      <c r="A12" s="21" t="s">
        <v>21</v>
      </c>
      <c r="B12" s="22" t="s">
        <v>22</v>
      </c>
      <c r="C12" s="23">
        <v>10</v>
      </c>
      <c r="D12" s="24"/>
      <c r="F12" s="20"/>
      <c r="G12" s="20"/>
      <c r="H12" s="20"/>
      <c r="I12" s="20"/>
      <c r="J12" s="20"/>
      <c r="K12" s="20"/>
      <c r="L12" s="20"/>
    </row>
    <row r="13" ht="14.4" customHeight="1">
      <c r="F13" s="25"/>
      <c r="G13" s="25"/>
      <c r="H13" s="25"/>
      <c r="I13" s="25"/>
      <c r="J13" s="25"/>
      <c r="K13" s="25"/>
      <c r="L13" s="25"/>
    </row>
    <row r="14" ht="14.4" customHeight="1">
      <c r="A14" s="26" t="s">
        <v>23</v>
      </c>
      <c r="B14" s="27" t="s">
        <v>24</v>
      </c>
      <c r="C14" s="28" t="s">
        <v>25</v>
      </c>
      <c r="D14" s="29"/>
      <c r="F14" s="25"/>
      <c r="G14" s="25"/>
      <c r="H14" s="25"/>
      <c r="I14" s="25"/>
      <c r="J14" s="25"/>
      <c r="K14" s="25"/>
      <c r="L14" s="25"/>
    </row>
    <row r="15" ht="14.4" customHeight="1">
      <c r="A15" s="30"/>
      <c r="B15" s="31"/>
      <c r="C15" s="9" t="s">
        <v>4</v>
      </c>
      <c r="D15" s="10" t="s">
        <v>5</v>
      </c>
      <c r="F15" s="25"/>
      <c r="G15" s="25"/>
      <c r="H15" s="25"/>
      <c r="I15" s="25"/>
      <c r="J15" s="25"/>
      <c r="K15" s="25"/>
      <c r="L15" s="25"/>
    </row>
    <row r="16" ht="14.4" customHeight="1">
      <c r="A16" s="11" t="s">
        <v>26</v>
      </c>
      <c r="B16" s="12" t="s">
        <v>27</v>
      </c>
      <c r="C16" s="32">
        <f>SUM(C6:C10)/5</f>
        <v>208</v>
      </c>
      <c r="D16" s="33">
        <f>SUM(D6:D10)/5</f>
        <v>193.19999999999999</v>
      </c>
      <c r="F16" s="25"/>
      <c r="G16" s="25"/>
      <c r="H16" s="25"/>
      <c r="I16" s="25"/>
      <c r="J16" s="25"/>
      <c r="K16" s="25"/>
      <c r="L16" s="25"/>
    </row>
    <row r="17" ht="14.4" customHeight="1">
      <c r="A17" s="17" t="s">
        <v>28</v>
      </c>
      <c r="B17" s="18" t="s">
        <v>29</v>
      </c>
      <c r="C17" s="34">
        <f>C16/C4*100</f>
        <v>26</v>
      </c>
      <c r="D17" s="35">
        <f>D16/D4*100</f>
        <v>21.954545454545453</v>
      </c>
      <c r="F17" s="25"/>
      <c r="G17" s="25"/>
      <c r="H17" s="25"/>
      <c r="I17" s="25"/>
      <c r="J17" s="25"/>
      <c r="K17" s="25"/>
      <c r="L17" s="25"/>
    </row>
    <row r="18" ht="14.4" customHeight="1">
      <c r="A18" s="21" t="s">
        <v>30</v>
      </c>
      <c r="B18" s="22" t="s">
        <v>31</v>
      </c>
      <c r="C18" s="36">
        <f>C4/C16</f>
        <v>3.8461538461538463</v>
      </c>
      <c r="D18" s="37">
        <f>D4/D16</f>
        <v>4.5548654244306421</v>
      </c>
      <c r="F18" s="25"/>
      <c r="G18" s="25"/>
      <c r="H18" s="25"/>
      <c r="I18" s="25"/>
      <c r="J18" s="25"/>
      <c r="K18" s="25"/>
      <c r="L18" s="25"/>
    </row>
    <row r="19">
      <c r="F19" s="20"/>
      <c r="G19" s="20"/>
      <c r="H19" s="20"/>
      <c r="I19" s="20"/>
      <c r="J19" s="20"/>
      <c r="K19" s="20"/>
      <c r="L19" s="20"/>
    </row>
    <row r="20">
      <c r="A20" s="1"/>
      <c r="B20" s="1"/>
      <c r="C20" s="1"/>
      <c r="F20" s="20"/>
      <c r="G20" s="20"/>
      <c r="H20" s="20"/>
      <c r="I20" s="20"/>
      <c r="J20" s="20"/>
      <c r="K20" s="20"/>
      <c r="L20" s="20"/>
    </row>
    <row r="21">
      <c r="A21" s="38" t="s">
        <v>32</v>
      </c>
      <c r="B21" s="39"/>
      <c r="C21" s="39"/>
      <c r="D21" s="40"/>
      <c r="F21" s="20"/>
      <c r="G21" s="20"/>
      <c r="H21" s="20"/>
      <c r="I21" s="20"/>
      <c r="J21" s="20"/>
      <c r="K21" s="20"/>
      <c r="L21" s="20"/>
    </row>
    <row r="22">
      <c r="A22" s="41"/>
      <c r="B22" s="1"/>
      <c r="C22" s="1"/>
      <c r="D22" s="42"/>
      <c r="F22" s="20"/>
      <c r="G22" s="20"/>
      <c r="H22" s="20"/>
      <c r="I22" s="20"/>
      <c r="J22" s="20"/>
      <c r="K22" s="20"/>
      <c r="L22" s="20"/>
    </row>
    <row r="23">
      <c r="A23" s="41"/>
      <c r="B23" s="1"/>
      <c r="C23" s="1"/>
      <c r="D23" s="42"/>
      <c r="F23" s="20"/>
      <c r="G23" s="20"/>
      <c r="H23" s="20"/>
      <c r="I23" s="20"/>
      <c r="J23" s="20"/>
      <c r="K23" s="20"/>
      <c r="L23" s="20"/>
    </row>
    <row r="24">
      <c r="A24" s="41"/>
      <c r="B24" s="1"/>
      <c r="C24" s="1"/>
      <c r="D24" s="42"/>
      <c r="F24" s="1"/>
      <c r="G24" s="1"/>
      <c r="H24" s="1"/>
      <c r="I24" s="1"/>
      <c r="J24" s="1"/>
      <c r="K24" s="1"/>
    </row>
    <row r="25" ht="14.25">
      <c r="A25" s="41"/>
      <c r="B25" s="1"/>
      <c r="C25" s="1"/>
      <c r="D25" s="42"/>
    </row>
    <row r="26" ht="14.25">
      <c r="A26" s="43"/>
      <c r="B26" s="44"/>
      <c r="C26" s="44"/>
      <c r="D26" s="45"/>
    </row>
  </sheetData>
  <mergeCells count="9">
    <mergeCell ref="A2:A3"/>
    <mergeCell ref="B2:B3"/>
    <mergeCell ref="C2:D2"/>
    <mergeCell ref="A5:D5"/>
    <mergeCell ref="C12:D12"/>
    <mergeCell ref="A14:A15"/>
    <mergeCell ref="B14:B15"/>
    <mergeCell ref="C14:D14"/>
    <mergeCell ref="A21:D2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" zoomScale="85" workbookViewId="0">
      <selection activeCell="C37" activeCellId="0" sqref="C37"/>
    </sheetView>
  </sheetViews>
  <sheetFormatPr defaultRowHeight="14.25"/>
  <cols>
    <col customWidth="1" min="1" max="1" style="46" width="34.00390625"/>
    <col customWidth="1" min="2" max="2" style="46" width="28.00390625"/>
    <col bestFit="1" customWidth="1" min="3" max="3" style="46" width="17.22265625"/>
    <col bestFit="1" customWidth="1" min="4" max="4" style="46" width="19.76171875"/>
    <col bestFit="1" customWidth="1" min="5" max="5" style="46" width="15.953125"/>
    <col bestFit="1" customWidth="1" min="6" max="11" style="46" width="9.6015625"/>
    <col min="12" max="16384" style="46" width="8.88671875"/>
  </cols>
  <sheetData>
    <row r="1" ht="14.4" customHeight="1"/>
    <row r="2" ht="28.199999999999999" customHeight="1">
      <c r="A2" s="47" t="s">
        <v>23</v>
      </c>
      <c r="B2" s="48"/>
      <c r="C2" s="49" t="s">
        <v>33</v>
      </c>
      <c r="D2" s="50" t="s">
        <v>34</v>
      </c>
      <c r="E2" s="51" t="s">
        <v>3</v>
      </c>
      <c r="F2" s="52">
        <v>4</v>
      </c>
    </row>
    <row r="3" ht="14.4" customHeight="1">
      <c r="A3" s="53" t="s">
        <v>35</v>
      </c>
      <c r="B3" s="52" t="s">
        <v>36</v>
      </c>
      <c r="C3" s="54">
        <v>13</v>
      </c>
      <c r="D3" s="55">
        <f>C5*C3+(1-C5)*C4</f>
        <v>17.199999999999999</v>
      </c>
    </row>
    <row r="4" ht="14.4" customHeight="1">
      <c r="A4" s="56"/>
      <c r="B4" s="52" t="s">
        <v>37</v>
      </c>
      <c r="C4" s="54">
        <v>20</v>
      </c>
    </row>
    <row r="5" ht="28.800000000000001" customHeight="1">
      <c r="A5" s="57" t="s">
        <v>38</v>
      </c>
      <c r="B5" s="58"/>
      <c r="C5" s="54">
        <v>0.40000000000000002</v>
      </c>
    </row>
    <row r="6" ht="14.4" customHeight="1">
      <c r="A6" s="53" t="s">
        <v>39</v>
      </c>
      <c r="B6" s="52" t="s">
        <v>40</v>
      </c>
      <c r="C6" s="54">
        <f>-90-5*$F$2</f>
        <v>-110</v>
      </c>
    </row>
    <row r="7" ht="14.4" customHeight="1">
      <c r="A7" s="59"/>
      <c r="B7" s="52" t="s">
        <v>41</v>
      </c>
      <c r="C7" s="54">
        <f>-60-3*$F$2</f>
        <v>-72</v>
      </c>
    </row>
    <row r="8" ht="14.4" customHeight="1">
      <c r="A8" s="59"/>
      <c r="B8" s="52" t="s">
        <v>42</v>
      </c>
      <c r="C8" s="54">
        <f>40+$F$2</f>
        <v>44</v>
      </c>
    </row>
    <row r="9" ht="14.4" customHeight="1">
      <c r="A9" s="59"/>
      <c r="B9" s="52" t="s">
        <v>43</v>
      </c>
      <c r="C9" s="54">
        <f>60+$F$2</f>
        <v>64</v>
      </c>
    </row>
    <row r="10" ht="14.4" customHeight="1">
      <c r="A10" s="59"/>
      <c r="B10" s="52" t="s">
        <v>44</v>
      </c>
      <c r="C10" s="54">
        <f>30+5*$F$2</f>
        <v>50</v>
      </c>
    </row>
    <row r="11" ht="14.4" customHeight="1">
      <c r="A11" s="59"/>
      <c r="B11" s="52" t="s">
        <v>45</v>
      </c>
      <c r="C11" s="54">
        <f>40+5*$F$2</f>
        <v>60</v>
      </c>
    </row>
    <row r="12" ht="14.4" customHeight="1">
      <c r="A12" s="59"/>
      <c r="B12" s="52" t="s">
        <v>46</v>
      </c>
      <c r="C12" s="54">
        <f>45+5*$F$2</f>
        <v>65</v>
      </c>
    </row>
    <row r="13" ht="14.4" customHeight="1">
      <c r="A13" s="59"/>
      <c r="B13" s="52" t="s">
        <v>47</v>
      </c>
      <c r="C13" s="54">
        <f t="shared" ref="C13:C14" si="0">50+10*$F$2</f>
        <v>90</v>
      </c>
    </row>
    <row r="14" ht="14.4" customHeight="1">
      <c r="A14" s="59"/>
      <c r="B14" s="52" t="s">
        <v>48</v>
      </c>
      <c r="C14" s="54">
        <f t="shared" si="0"/>
        <v>90</v>
      </c>
    </row>
    <row r="15" ht="14.4" customHeight="1">
      <c r="A15" s="59"/>
      <c r="B15" s="52" t="s">
        <v>49</v>
      </c>
      <c r="C15" s="54">
        <f>40+10*$F$2</f>
        <v>80</v>
      </c>
    </row>
    <row r="16" ht="14.4" customHeight="1">
      <c r="A16" s="60"/>
      <c r="B16" s="61" t="s">
        <v>50</v>
      </c>
      <c r="C16" s="62">
        <f>30+15*$F$2</f>
        <v>90</v>
      </c>
    </row>
    <row r="17" ht="14.4" customHeight="1"/>
    <row r="18" ht="14.4" customHeight="1"/>
    <row r="19" ht="14.4" customHeight="1">
      <c r="A19" s="63" t="s">
        <v>51</v>
      </c>
      <c r="B19" s="64" t="s">
        <v>52</v>
      </c>
      <c r="C19" s="65" t="s">
        <v>53</v>
      </c>
      <c r="D19" s="66"/>
      <c r="E19" s="67"/>
      <c r="F19" s="66" t="s">
        <v>54</v>
      </c>
      <c r="G19" s="66"/>
      <c r="H19" s="66"/>
      <c r="I19" s="66"/>
      <c r="J19" s="66"/>
      <c r="K19" s="68"/>
    </row>
    <row r="20" ht="14.4" customHeight="1">
      <c r="A20" s="69"/>
      <c r="B20" s="70"/>
      <c r="C20" s="71"/>
      <c r="D20" s="72"/>
      <c r="E20" s="73"/>
      <c r="F20" s="74"/>
      <c r="G20" s="74"/>
      <c r="H20" s="74"/>
      <c r="I20" s="74"/>
      <c r="J20" s="74"/>
      <c r="K20" s="75"/>
    </row>
    <row r="21" ht="14.4" customHeight="1">
      <c r="A21" s="76"/>
      <c r="B21" s="77"/>
      <c r="C21" s="78" t="s">
        <v>55</v>
      </c>
      <c r="D21" s="79" t="s">
        <v>56</v>
      </c>
      <c r="E21" s="79" t="s">
        <v>57</v>
      </c>
      <c r="F21" s="80" t="s">
        <v>58</v>
      </c>
      <c r="G21" s="80" t="s">
        <v>59</v>
      </c>
      <c r="H21" s="80" t="s">
        <v>60</v>
      </c>
      <c r="I21" s="80" t="s">
        <v>58</v>
      </c>
      <c r="J21" s="80" t="s">
        <v>59</v>
      </c>
      <c r="K21" s="81" t="s">
        <v>60</v>
      </c>
    </row>
    <row r="22" ht="14.4" customHeight="1">
      <c r="A22" s="82">
        <v>1</v>
      </c>
      <c r="B22" s="83">
        <v>2</v>
      </c>
      <c r="C22" s="84">
        <v>3</v>
      </c>
      <c r="D22" s="84">
        <v>4</v>
      </c>
      <c r="E22" s="85">
        <v>5</v>
      </c>
      <c r="F22" s="84">
        <v>6</v>
      </c>
      <c r="G22" s="86">
        <v>7</v>
      </c>
      <c r="H22" s="86">
        <v>8</v>
      </c>
      <c r="I22" s="86">
        <v>9</v>
      </c>
      <c r="J22" s="86">
        <v>10</v>
      </c>
      <c r="K22" s="87">
        <v>11</v>
      </c>
    </row>
    <row r="23" ht="14.4" customHeight="1">
      <c r="A23" s="88">
        <v>0</v>
      </c>
      <c r="B23" s="52">
        <f t="shared" ref="B23:B33" si="1">C6</f>
        <v>-110</v>
      </c>
      <c r="C23" s="89">
        <f t="shared" ref="C23:C33" si="2">1/(1+0.12)^A47</f>
        <v>1</v>
      </c>
      <c r="D23" s="89">
        <f t="shared" ref="D23:D33" si="3">1/(1+0.18)^A47</f>
        <v>1</v>
      </c>
      <c r="E23" s="89">
        <f t="shared" ref="E23:E33" si="4">1/(1+0.15)^A47</f>
        <v>1</v>
      </c>
      <c r="F23" s="89">
        <f t="shared" ref="F23:F33" si="5">B23*C23</f>
        <v>-110</v>
      </c>
      <c r="G23" s="90">
        <f t="shared" ref="G23:G33" si="6">B23*D23</f>
        <v>-110</v>
      </c>
      <c r="H23" s="90">
        <f t="shared" ref="H23:H33" si="7">B23*E23</f>
        <v>-110</v>
      </c>
      <c r="I23" s="90">
        <f>F23</f>
        <v>-110</v>
      </c>
      <c r="J23" s="90">
        <f>G23</f>
        <v>-110</v>
      </c>
      <c r="K23" s="91">
        <f>H23</f>
        <v>-110</v>
      </c>
    </row>
    <row r="24" ht="14.4" customHeight="1">
      <c r="A24" s="88">
        <v>1</v>
      </c>
      <c r="B24" s="52">
        <f t="shared" si="1"/>
        <v>-72</v>
      </c>
      <c r="C24" s="89">
        <f t="shared" si="2"/>
        <v>0.89285714285714279</v>
      </c>
      <c r="D24" s="89">
        <f t="shared" si="3"/>
        <v>0.84745762711864414</v>
      </c>
      <c r="E24" s="89">
        <f t="shared" si="4"/>
        <v>0.86956521739130443</v>
      </c>
      <c r="F24" s="89">
        <f t="shared" si="5"/>
        <v>-64.285714285714278</v>
      </c>
      <c r="G24" s="90">
        <f t="shared" si="6"/>
        <v>-61.016949152542381</v>
      </c>
      <c r="H24" s="90">
        <f t="shared" si="7"/>
        <v>-62.608695652173921</v>
      </c>
      <c r="I24" s="90">
        <f t="shared" ref="I24:I25" si="8">I23+F24</f>
        <v>-174.28571428571428</v>
      </c>
      <c r="J24" s="90">
        <f>J23+G24</f>
        <v>-171.0169491525424</v>
      </c>
      <c r="K24" s="91">
        <f>K23+H24</f>
        <v>-172.60869565217394</v>
      </c>
    </row>
    <row r="25" ht="14.4" customHeight="1">
      <c r="A25" s="88">
        <v>2</v>
      </c>
      <c r="B25" s="52">
        <f t="shared" si="1"/>
        <v>44</v>
      </c>
      <c r="C25" s="89">
        <f t="shared" si="2"/>
        <v>0.79719387755102034</v>
      </c>
      <c r="D25" s="89">
        <f t="shared" si="3"/>
        <v>0.71818442976156283</v>
      </c>
      <c r="E25" s="89">
        <f t="shared" si="4"/>
        <v>0.7561436672967865</v>
      </c>
      <c r="F25" s="89">
        <f t="shared" si="5"/>
        <v>35.076530612244895</v>
      </c>
      <c r="G25" s="90">
        <f t="shared" si="6"/>
        <v>31.600114909508765</v>
      </c>
      <c r="H25" s="90">
        <f t="shared" si="7"/>
        <v>33.270321361058606</v>
      </c>
      <c r="I25" s="90">
        <f t="shared" si="8"/>
        <v>-139.2091836734694</v>
      </c>
      <c r="J25" s="90">
        <f>J24+G25</f>
        <v>-139.41683424303363</v>
      </c>
      <c r="K25" s="91">
        <f>K24+H25</f>
        <v>-139.33837429111531</v>
      </c>
    </row>
    <row r="26" ht="14.4" customHeight="1">
      <c r="A26" s="88">
        <v>3</v>
      </c>
      <c r="B26" s="52">
        <f t="shared" si="1"/>
        <v>64</v>
      </c>
      <c r="C26" s="89">
        <f t="shared" si="2"/>
        <v>0.71178024781341087</v>
      </c>
      <c r="D26" s="89">
        <f t="shared" si="3"/>
        <v>0.6086308726792905</v>
      </c>
      <c r="E26" s="89">
        <f t="shared" si="4"/>
        <v>0.65751623243198831</v>
      </c>
      <c r="F26" s="89">
        <f t="shared" si="5"/>
        <v>45.553935860058296</v>
      </c>
      <c r="G26" s="90">
        <f t="shared" si="6"/>
        <v>38.952375851474592</v>
      </c>
      <c r="H26" s="90">
        <f t="shared" si="7"/>
        <v>42.081038875647252</v>
      </c>
      <c r="I26" s="90">
        <f>I25+F26</f>
        <v>-93.655247813411108</v>
      </c>
      <c r="J26" s="90">
        <f>J25+G26</f>
        <v>-100.46445839155905</v>
      </c>
      <c r="K26" s="91">
        <f>K25+H26</f>
        <v>-97.257335415468063</v>
      </c>
    </row>
    <row r="27" ht="14.4" customHeight="1">
      <c r="A27" s="88">
        <v>4</v>
      </c>
      <c r="B27" s="52">
        <f t="shared" si="1"/>
        <v>50</v>
      </c>
      <c r="C27" s="89">
        <f t="shared" si="2"/>
        <v>0.6355180784048311</v>
      </c>
      <c r="D27" s="89">
        <f t="shared" si="3"/>
        <v>0.51578887515194116</v>
      </c>
      <c r="E27" s="89">
        <f>1/(1+0.15)^A51</f>
        <v>0.57175324559303342</v>
      </c>
      <c r="F27" s="89">
        <f t="shared" si="5"/>
        <v>31.775903920241554</v>
      </c>
      <c r="G27" s="90">
        <f t="shared" si="6"/>
        <v>25.789443757597059</v>
      </c>
      <c r="H27" s="90">
        <f t="shared" si="7"/>
        <v>28.587662279651671</v>
      </c>
      <c r="I27" s="90">
        <f>I26+F27</f>
        <v>-61.879343893169555</v>
      </c>
      <c r="J27" s="90">
        <f>J26+G27</f>
        <v>-74.675014633961993</v>
      </c>
      <c r="K27" s="91">
        <f>K26+H27</f>
        <v>-68.669673135816396</v>
      </c>
    </row>
    <row r="28" ht="14.4" customHeight="1">
      <c r="A28" s="88">
        <v>5</v>
      </c>
      <c r="B28" s="52">
        <f t="shared" si="1"/>
        <v>60</v>
      </c>
      <c r="C28" s="89">
        <f t="shared" si="2"/>
        <v>0.56742685571859919</v>
      </c>
      <c r="D28" s="89">
        <f t="shared" si="3"/>
        <v>0.43710921623045862</v>
      </c>
      <c r="E28" s="89">
        <f t="shared" si="4"/>
        <v>0.49717673529828987</v>
      </c>
      <c r="F28" s="89">
        <f t="shared" si="5"/>
        <v>34.045611343115951</v>
      </c>
      <c r="G28" s="90">
        <f t="shared" si="6"/>
        <v>26.226552973827516</v>
      </c>
      <c r="H28" s="90">
        <f t="shared" si="7"/>
        <v>29.830604117897394</v>
      </c>
      <c r="I28" s="90">
        <f>I27+F28</f>
        <v>-27.833732550053604</v>
      </c>
      <c r="J28" s="90">
        <f>J27+G28</f>
        <v>-48.448461660134477</v>
      </c>
      <c r="K28" s="91">
        <f>K27+H28</f>
        <v>-38.839069017919002</v>
      </c>
    </row>
    <row r="29" ht="14.4" customHeight="1">
      <c r="A29" s="88">
        <v>6</v>
      </c>
      <c r="B29" s="52">
        <f t="shared" si="1"/>
        <v>65</v>
      </c>
      <c r="C29" s="89">
        <f t="shared" si="2"/>
        <v>0.50663112117732056</v>
      </c>
      <c r="D29" s="89">
        <f t="shared" si="3"/>
        <v>0.37043153917835481</v>
      </c>
      <c r="E29" s="89">
        <f t="shared" si="4"/>
        <v>0.43232759591155645</v>
      </c>
      <c r="F29" s="89">
        <f t="shared" si="5"/>
        <v>32.931022876525837</v>
      </c>
      <c r="G29" s="90">
        <f t="shared" si="6"/>
        <v>24.078050046593063</v>
      </c>
      <c r="H29" s="90">
        <f t="shared" si="7"/>
        <v>28.101293734251168</v>
      </c>
      <c r="I29" s="90">
        <f>I28+F29</f>
        <v>5.0972903264722333</v>
      </c>
      <c r="J29" s="90">
        <f>J28+G29</f>
        <v>-24.370411613541414</v>
      </c>
      <c r="K29" s="91">
        <f>K28+H29</f>
        <v>-10.737775283667833</v>
      </c>
    </row>
    <row r="30" ht="14.4" customHeight="1">
      <c r="A30" s="88">
        <v>7</v>
      </c>
      <c r="B30" s="52">
        <f t="shared" si="1"/>
        <v>90</v>
      </c>
      <c r="C30" s="89">
        <f t="shared" si="2"/>
        <v>0.45234921533689337</v>
      </c>
      <c r="D30" s="89">
        <f t="shared" si="3"/>
        <v>0.31392503320199566</v>
      </c>
      <c r="E30" s="89">
        <f t="shared" si="4"/>
        <v>0.37593703992309263</v>
      </c>
      <c r="F30" s="89">
        <f t="shared" si="5"/>
        <v>40.711429380320403</v>
      </c>
      <c r="G30" s="90">
        <f t="shared" si="6"/>
        <v>28.253252988179611</v>
      </c>
      <c r="H30" s="90">
        <f t="shared" si="7"/>
        <v>33.834333593078334</v>
      </c>
      <c r="I30" s="90">
        <f>I29+F30</f>
        <v>45.808719706792637</v>
      </c>
      <c r="J30" s="90">
        <f>J29+G30</f>
        <v>3.8828413746381969</v>
      </c>
      <c r="K30" s="91">
        <f>K29+H30</f>
        <v>23.096558309410501</v>
      </c>
    </row>
    <row r="31" ht="14.4" customHeight="1">
      <c r="A31" s="88">
        <v>8</v>
      </c>
      <c r="B31" s="52">
        <f t="shared" si="1"/>
        <v>90</v>
      </c>
      <c r="C31" s="89">
        <f t="shared" si="2"/>
        <v>0.40388322797936904</v>
      </c>
      <c r="D31" s="89">
        <f t="shared" si="3"/>
        <v>0.26603816373050476</v>
      </c>
      <c r="E31" s="89">
        <f t="shared" si="4"/>
        <v>0.32690177384616753</v>
      </c>
      <c r="F31" s="89">
        <f t="shared" si="5"/>
        <v>36.349490518143213</v>
      </c>
      <c r="G31" s="90">
        <f t="shared" si="6"/>
        <v>23.943434735745427</v>
      </c>
      <c r="H31" s="90">
        <f t="shared" si="7"/>
        <v>29.421159646155079</v>
      </c>
      <c r="I31" s="90">
        <f>I30+F31</f>
        <v>82.158210224935857</v>
      </c>
      <c r="J31" s="90">
        <f>J30+G31</f>
        <v>27.826276110383624</v>
      </c>
      <c r="K31" s="91">
        <f>K30+H31</f>
        <v>52.51771795556558</v>
      </c>
    </row>
    <row r="32" ht="14.4" customHeight="1">
      <c r="A32" s="88">
        <v>9</v>
      </c>
      <c r="B32" s="52">
        <f t="shared" si="1"/>
        <v>80</v>
      </c>
      <c r="C32" s="89">
        <f t="shared" si="2"/>
        <v>0.36061002498157946</v>
      </c>
      <c r="D32" s="89">
        <f t="shared" si="3"/>
        <v>0.22545607095805489</v>
      </c>
      <c r="E32" s="89">
        <f t="shared" si="4"/>
        <v>0.28426241204014568</v>
      </c>
      <c r="F32" s="89">
        <f t="shared" si="5"/>
        <v>28.848801998526355</v>
      </c>
      <c r="G32" s="90">
        <f t="shared" si="6"/>
        <v>18.036485676644393</v>
      </c>
      <c r="H32" s="90">
        <f t="shared" si="7"/>
        <v>22.740992963211653</v>
      </c>
      <c r="I32" s="90">
        <f>I31+F32</f>
        <v>111.00701222346221</v>
      </c>
      <c r="J32" s="90">
        <f>J31+G32</f>
        <v>45.86276178702802</v>
      </c>
      <c r="K32" s="91">
        <f>K31+H32</f>
        <v>75.25871091877724</v>
      </c>
    </row>
    <row r="33" ht="14.4" customHeight="1">
      <c r="A33" s="92">
        <v>10</v>
      </c>
      <c r="B33" s="61">
        <f t="shared" si="1"/>
        <v>90</v>
      </c>
      <c r="C33" s="93">
        <f t="shared" si="2"/>
        <v>0.32197323659069593</v>
      </c>
      <c r="D33" s="93">
        <f t="shared" si="3"/>
        <v>0.19106446691360587</v>
      </c>
      <c r="E33" s="93">
        <f t="shared" si="4"/>
        <v>0.24718470612186585</v>
      </c>
      <c r="F33" s="93">
        <f t="shared" si="5"/>
        <v>28.977591293162632</v>
      </c>
      <c r="G33" s="94">
        <f t="shared" si="6"/>
        <v>17.19580202222453</v>
      </c>
      <c r="H33" s="94">
        <f t="shared" si="7"/>
        <v>22.246623550967929</v>
      </c>
      <c r="I33" s="94">
        <f>I32+F33</f>
        <v>139.98460351662484</v>
      </c>
      <c r="J33" s="94">
        <f>J32+G33</f>
        <v>63.058563809252547</v>
      </c>
      <c r="K33" s="95">
        <f>K32+H33</f>
        <v>97.505334469745165</v>
      </c>
    </row>
    <row r="34" ht="14.4" customHeight="1"/>
    <row r="35" ht="14.4" customHeight="1">
      <c r="A35" s="46"/>
    </row>
    <row r="36" ht="14.4" customHeight="1">
      <c r="A36" s="96" t="s">
        <v>61</v>
      </c>
      <c r="B36" s="97" t="s">
        <v>62</v>
      </c>
      <c r="C36" s="98" t="s">
        <v>63</v>
      </c>
      <c r="D36" s="99"/>
      <c r="E36" s="100"/>
    </row>
    <row r="37" ht="14.4" customHeight="1">
      <c r="A37" s="101"/>
      <c r="B37" s="102"/>
      <c r="C37" s="103" t="s">
        <v>58</v>
      </c>
      <c r="D37" s="103" t="s">
        <v>59</v>
      </c>
      <c r="E37" s="104" t="s">
        <v>60</v>
      </c>
    </row>
    <row r="38" ht="29.399999999999999" customHeight="1">
      <c r="A38" s="105" t="s">
        <v>64</v>
      </c>
      <c r="B38" s="106" t="s">
        <v>65</v>
      </c>
      <c r="C38" s="86">
        <f>I33</f>
        <v>139.98460351662484</v>
      </c>
      <c r="D38" s="86">
        <f>J33</f>
        <v>63.058563809252547</v>
      </c>
      <c r="E38" s="87">
        <f>K33</f>
        <v>97.505334469745165</v>
      </c>
    </row>
    <row r="39" ht="29.399999999999999" customHeight="1">
      <c r="A39" s="107" t="s">
        <v>66</v>
      </c>
      <c r="B39" s="108" t="s">
        <v>67</v>
      </c>
      <c r="C39" s="90">
        <f>SUM(F25:F33)/SUM(F23:F24)*(-1)</f>
        <v>1.8031903480462084</v>
      </c>
      <c r="D39" s="90">
        <f>SUM(G25:G33)/SUM(G23:G24)*(-1)</f>
        <v>1.3687269836219922</v>
      </c>
      <c r="E39" s="91">
        <f>SUM(H25:H33)/SUM(H23:H24)*(-1)</f>
        <v>1.5648923659456264</v>
      </c>
    </row>
    <row r="40" ht="29.399999999999999" customHeight="1">
      <c r="A40" s="107" t="s">
        <v>68</v>
      </c>
      <c r="B40" s="109" t="s">
        <v>69</v>
      </c>
      <c r="C40" s="90">
        <f>A28+ABS(I28)/(ABS(I28)+I29)</f>
        <v>5.8452131187790792</v>
      </c>
      <c r="D40" s="90">
        <f>A29+ABS(J29)/(ABS(J29)+J30)</f>
        <v>6.8625701126782577</v>
      </c>
      <c r="E40" s="91">
        <f>A29+ABS(K29)/(ABS(K29)+K30)</f>
        <v>6.3173632858506936</v>
      </c>
    </row>
    <row r="41" ht="29.399999999999999" customHeight="1">
      <c r="A41" s="110" t="s">
        <v>70</v>
      </c>
      <c r="B41" s="111" t="s">
        <v>71</v>
      </c>
      <c r="C41" s="112">
        <f>C3-(I33*(C4-C3))/(J33-I33)</f>
        <v>25.738108296539082</v>
      </c>
      <c r="D41" s="113"/>
      <c r="E41" s="114"/>
    </row>
    <row r="42" ht="14.4" customHeight="1"/>
    <row r="43" ht="14.4" customHeight="1">
      <c r="C43" s="46"/>
      <c r="D43" s="46"/>
      <c r="E43" s="46"/>
      <c r="F43" s="46"/>
      <c r="H43" s="115" t="s">
        <v>72</v>
      </c>
      <c r="I43" s="116"/>
      <c r="J43" s="116"/>
      <c r="K43" s="116"/>
      <c r="L43" s="116"/>
      <c r="M43" s="116"/>
      <c r="N43" s="117"/>
    </row>
    <row r="44" ht="14.4" customHeight="1">
      <c r="C44" s="46">
        <f t="shared" ref="C44:C45" si="9">C3</f>
        <v>13</v>
      </c>
      <c r="D44" s="46">
        <f>C38</f>
        <v>139.98460351662484</v>
      </c>
      <c r="H44" s="118"/>
      <c r="I44" s="46"/>
      <c r="J44" s="46"/>
      <c r="K44" s="46"/>
      <c r="L44" s="46"/>
      <c r="M44" s="46"/>
      <c r="N44" s="119"/>
    </row>
    <row r="45" ht="14.4" customHeight="1">
      <c r="C45" s="46">
        <f t="shared" si="9"/>
        <v>20</v>
      </c>
      <c r="D45" s="46">
        <f>D38</f>
        <v>63.058563809252547</v>
      </c>
      <c r="H45" s="118"/>
      <c r="I45" s="46"/>
      <c r="J45" s="46"/>
      <c r="K45" s="46"/>
      <c r="L45" s="46"/>
      <c r="M45" s="46"/>
      <c r="N45" s="119"/>
    </row>
    <row r="46" ht="14.4" customHeight="1">
      <c r="H46" s="118"/>
      <c r="I46" s="46"/>
      <c r="J46" s="46"/>
      <c r="K46" s="46"/>
      <c r="L46" s="46"/>
      <c r="M46" s="46"/>
      <c r="N46" s="119"/>
    </row>
    <row r="47" ht="14.4" customHeight="1">
      <c r="A47" s="46">
        <v>0</v>
      </c>
      <c r="H47" s="118"/>
      <c r="I47" s="46"/>
      <c r="J47" s="46"/>
      <c r="K47" s="46"/>
      <c r="L47" s="46"/>
      <c r="M47" s="46"/>
      <c r="N47" s="119"/>
    </row>
    <row r="48" ht="14.4" customHeight="1">
      <c r="A48" s="46">
        <v>1</v>
      </c>
      <c r="H48" s="118"/>
      <c r="I48" s="46"/>
      <c r="J48" s="46"/>
      <c r="K48" s="46"/>
      <c r="L48" s="46"/>
      <c r="M48" s="46"/>
      <c r="N48" s="119"/>
    </row>
    <row r="49" ht="14.4" customHeight="1">
      <c r="A49" s="46">
        <v>2</v>
      </c>
      <c r="H49" s="118"/>
      <c r="I49" s="46"/>
      <c r="J49" s="46"/>
      <c r="K49" s="46"/>
      <c r="L49" s="46"/>
      <c r="M49" s="46"/>
      <c r="N49" s="119"/>
    </row>
    <row r="50" ht="14.4" customHeight="1">
      <c r="A50" s="46">
        <v>3</v>
      </c>
      <c r="H50" s="118"/>
      <c r="I50" s="46"/>
      <c r="J50" s="46"/>
      <c r="K50" s="46"/>
      <c r="L50" s="46"/>
      <c r="M50" s="46"/>
      <c r="N50" s="119"/>
    </row>
    <row r="51" ht="14.4" customHeight="1">
      <c r="A51" s="46">
        <v>4</v>
      </c>
      <c r="H51" s="120"/>
      <c r="I51" s="121"/>
      <c r="J51" s="121"/>
      <c r="K51" s="121"/>
      <c r="L51" s="121"/>
      <c r="M51" s="121"/>
      <c r="N51" s="122"/>
    </row>
    <row r="52" ht="14.4" customHeight="1">
      <c r="A52" s="46">
        <v>5</v>
      </c>
    </row>
    <row r="53" ht="14.4" customHeight="1">
      <c r="A53" s="46">
        <v>6</v>
      </c>
    </row>
    <row r="54" ht="14.4" customHeight="1">
      <c r="A54" s="46">
        <v>7</v>
      </c>
    </row>
    <row r="55" ht="14.4" customHeight="1">
      <c r="A55" s="46">
        <v>8</v>
      </c>
    </row>
    <row r="56" ht="14.4" customHeight="1">
      <c r="A56" s="46">
        <v>9</v>
      </c>
    </row>
    <row r="57" ht="14.4" customHeight="1">
      <c r="A57" s="46">
        <v>10</v>
      </c>
    </row>
    <row r="58" ht="14.4" customHeight="1"/>
    <row r="59" ht="14.4" customHeight="1"/>
    <row r="60" ht="14.4" customHeight="1"/>
  </sheetData>
  <mergeCells count="13">
    <mergeCell ref="A2:B2"/>
    <mergeCell ref="A3:A4"/>
    <mergeCell ref="A5:B5"/>
    <mergeCell ref="A6:A16"/>
    <mergeCell ref="A19:A21"/>
    <mergeCell ref="B19:B21"/>
    <mergeCell ref="C19:E20"/>
    <mergeCell ref="F19:K20"/>
    <mergeCell ref="A36:A37"/>
    <mergeCell ref="B36:B37"/>
    <mergeCell ref="C36:E36"/>
    <mergeCell ref="C41:E41"/>
    <mergeCell ref="H43:N51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32" activeCellId="0" sqref="F32"/>
    </sheetView>
  </sheetViews>
  <sheetFormatPr defaultColWidth="9.109375" defaultRowHeight="14.25"/>
  <cols>
    <col bestFit="1" customWidth="1" min="1" max="1" style="46" width="64.82421875"/>
    <col bestFit="1" customWidth="1" min="2" max="2" style="46" width="14.54296875"/>
    <col bestFit="1" customWidth="1" min="3" max="3" style="46" width="17.05078125"/>
    <col bestFit="1" min="4" max="4" style="46" width="5.7421875"/>
    <col bestFit="1" customWidth="1" min="5" max="5" style="46" width="9.51171875"/>
    <col bestFit="1" customWidth="1" min="6" max="6" style="46" width="5.7421875"/>
    <col bestFit="1" min="7" max="7" style="46" width="5.7421875"/>
    <col min="8" max="16384" style="46" width="9.109375"/>
  </cols>
  <sheetData>
    <row r="1">
      <c r="A1" s="123" t="s">
        <v>73</v>
      </c>
      <c r="B1" s="116"/>
      <c r="C1" s="124"/>
    </row>
    <row r="2" ht="28.5">
      <c r="A2" s="125" t="s">
        <v>23</v>
      </c>
      <c r="B2" s="126"/>
      <c r="C2" s="127" t="s">
        <v>33</v>
      </c>
      <c r="E2" s="128" t="s">
        <v>3</v>
      </c>
      <c r="F2" s="129">
        <v>4</v>
      </c>
    </row>
    <row r="3">
      <c r="A3" s="56" t="s">
        <v>74</v>
      </c>
      <c r="B3" s="130"/>
      <c r="C3" s="131">
        <v>0.17000000000000001</v>
      </c>
    </row>
    <row r="4">
      <c r="A4" s="132" t="s">
        <v>75</v>
      </c>
      <c r="B4" s="133"/>
      <c r="C4" s="54">
        <v>800</v>
      </c>
    </row>
    <row r="5">
      <c r="A5" s="132" t="s">
        <v>76</v>
      </c>
      <c r="B5" s="52" t="s">
        <v>77</v>
      </c>
      <c r="C5" s="54">
        <f>19.3+6*$F$2</f>
        <v>43.299999999999997</v>
      </c>
    </row>
    <row r="6">
      <c r="A6" s="132"/>
      <c r="B6" s="52" t="s">
        <v>78</v>
      </c>
      <c r="C6" s="54">
        <f>22.5+2*$F$2</f>
        <v>30.5</v>
      </c>
    </row>
    <row r="7">
      <c r="A7" s="132"/>
      <c r="B7" s="52" t="s">
        <v>79</v>
      </c>
      <c r="C7" s="54">
        <f>20.1+7*$F$2</f>
        <v>48.100000000000001</v>
      </c>
    </row>
    <row r="8">
      <c r="A8" s="132"/>
      <c r="B8" s="52" t="s">
        <v>80</v>
      </c>
      <c r="C8" s="54">
        <f>24.2+2*$F$2</f>
        <v>32.200000000000003</v>
      </c>
    </row>
    <row r="9">
      <c r="A9" s="132"/>
      <c r="B9" s="52" t="s">
        <v>81</v>
      </c>
      <c r="C9" s="54">
        <f>21.3+9*$F$2</f>
        <v>57.299999999999997</v>
      </c>
    </row>
    <row r="10">
      <c r="A10" s="132" t="s">
        <v>82</v>
      </c>
      <c r="B10" s="52" t="s">
        <v>77</v>
      </c>
      <c r="C10" s="54">
        <f>1.23+0.15*$F$2</f>
        <v>1.8300000000000001</v>
      </c>
    </row>
    <row r="11">
      <c r="A11" s="132"/>
      <c r="B11" s="52" t="s">
        <v>78</v>
      </c>
      <c r="C11" s="54">
        <f>1.37+0.04*$F$2</f>
        <v>1.53</v>
      </c>
    </row>
    <row r="12">
      <c r="A12" s="132"/>
      <c r="B12" s="52" t="s">
        <v>79</v>
      </c>
      <c r="C12" s="54">
        <f>1.45+0.06*$F$2</f>
        <v>1.6899999999999999</v>
      </c>
    </row>
    <row r="13">
      <c r="A13" s="132"/>
      <c r="B13" s="52" t="s">
        <v>80</v>
      </c>
      <c r="C13" s="54">
        <f>1.28+0.12*$F$2</f>
        <v>1.76</v>
      </c>
    </row>
    <row r="14">
      <c r="A14" s="134"/>
      <c r="B14" s="61" t="s">
        <v>81</v>
      </c>
      <c r="C14" s="62">
        <f>1.31+0.08*$F$2</f>
        <v>1.6300000000000001</v>
      </c>
    </row>
    <row r="17">
      <c r="A17" s="135" t="s">
        <v>0</v>
      </c>
      <c r="B17" s="136" t="s">
        <v>1</v>
      </c>
      <c r="C17" s="136" t="s">
        <v>83</v>
      </c>
      <c r="D17" s="136"/>
      <c r="E17" s="136"/>
      <c r="F17" s="136"/>
      <c r="G17" s="49"/>
    </row>
    <row r="18" ht="28.5">
      <c r="A18" s="137"/>
      <c r="B18" s="103"/>
      <c r="C18" s="102" t="s">
        <v>84</v>
      </c>
      <c r="D18" s="102" t="s">
        <v>85</v>
      </c>
      <c r="E18" s="102" t="s">
        <v>86</v>
      </c>
      <c r="F18" s="103" t="s">
        <v>87</v>
      </c>
      <c r="G18" s="104" t="s">
        <v>88</v>
      </c>
    </row>
    <row r="19" ht="16.199999999999999">
      <c r="A19" s="56" t="s">
        <v>89</v>
      </c>
      <c r="B19" s="138" t="s">
        <v>90</v>
      </c>
      <c r="C19" s="83">
        <f>C5</f>
        <v>43.299999999999997</v>
      </c>
      <c r="D19" s="83">
        <f>C6</f>
        <v>30.5</v>
      </c>
      <c r="E19" s="83">
        <f>C7</f>
        <v>48.100000000000001</v>
      </c>
      <c r="F19" s="83">
        <f>C8</f>
        <v>32.200000000000003</v>
      </c>
      <c r="G19" s="131">
        <f>C9</f>
        <v>57.299999999999997</v>
      </c>
    </row>
    <row r="20" ht="28.5">
      <c r="A20" s="132" t="s">
        <v>91</v>
      </c>
      <c r="B20" s="109" t="s">
        <v>92</v>
      </c>
      <c r="C20" s="52">
        <f>C10</f>
        <v>1.8300000000000001</v>
      </c>
      <c r="D20" s="52">
        <f>C11</f>
        <v>1.53</v>
      </c>
      <c r="E20" s="52">
        <f>C12</f>
        <v>1.6899999999999999</v>
      </c>
      <c r="F20" s="52">
        <f>C13</f>
        <v>1.76</v>
      </c>
      <c r="G20" s="54">
        <f>C14</f>
        <v>1.6300000000000001</v>
      </c>
    </row>
    <row r="21" ht="16.199999999999999">
      <c r="A21" s="132" t="s">
        <v>93</v>
      </c>
      <c r="B21" s="109" t="s">
        <v>94</v>
      </c>
      <c r="C21" s="52">
        <f>C4</f>
        <v>800</v>
      </c>
      <c r="D21" s="52">
        <f>C4</f>
        <v>800</v>
      </c>
      <c r="E21" s="52">
        <f>C4</f>
        <v>800</v>
      </c>
      <c r="F21" s="52">
        <f>C4</f>
        <v>800</v>
      </c>
      <c r="G21" s="54">
        <f>C4</f>
        <v>800</v>
      </c>
    </row>
    <row r="22" ht="28.5">
      <c r="A22" s="134" t="s">
        <v>95</v>
      </c>
      <c r="B22" s="139" t="s">
        <v>96</v>
      </c>
      <c r="C22" s="112">
        <f>C3</f>
        <v>0.17000000000000001</v>
      </c>
      <c r="D22" s="113"/>
      <c r="E22" s="113"/>
      <c r="F22" s="113"/>
      <c r="G22" s="114"/>
    </row>
    <row r="24">
      <c r="A24" s="46" t="s">
        <v>97</v>
      </c>
      <c r="B24" s="46">
        <f>C19*C22+C20*C21</f>
        <v>1471.3610000000001</v>
      </c>
    </row>
    <row r="25">
      <c r="A25" s="140" t="s">
        <v>98</v>
      </c>
      <c r="B25" s="140">
        <f>D19*C22+D20*D21</f>
        <v>1229.1849999999999</v>
      </c>
      <c r="D25" s="115" t="s">
        <v>99</v>
      </c>
      <c r="E25" s="116"/>
      <c r="F25" s="116"/>
      <c r="G25" s="116"/>
      <c r="H25" s="116"/>
      <c r="I25" s="116"/>
      <c r="J25" s="117"/>
    </row>
    <row r="26">
      <c r="A26" s="46" t="s">
        <v>100</v>
      </c>
      <c r="B26" s="46">
        <f>E19*C22+E20*E21</f>
        <v>1360.1769999999999</v>
      </c>
      <c r="D26" s="118"/>
      <c r="E26" s="46"/>
      <c r="F26" s="46"/>
      <c r="G26" s="46"/>
      <c r="H26" s="46"/>
      <c r="I26" s="46"/>
      <c r="J26" s="119"/>
    </row>
    <row r="27">
      <c r="A27" s="46" t="s">
        <v>101</v>
      </c>
      <c r="B27" s="46">
        <f>F19*C22+F20*F21</f>
        <v>1413.4739999999999</v>
      </c>
      <c r="D27" s="118"/>
      <c r="E27" s="46"/>
      <c r="F27" s="46"/>
      <c r="G27" s="46"/>
      <c r="H27" s="46"/>
      <c r="I27" s="46"/>
      <c r="J27" s="119"/>
    </row>
    <row r="28">
      <c r="A28" s="46" t="s">
        <v>102</v>
      </c>
      <c r="B28" s="46">
        <f>G19*C22+G20*G21</f>
        <v>1313.741</v>
      </c>
      <c r="D28" s="120"/>
      <c r="E28" s="121"/>
      <c r="F28" s="121"/>
      <c r="G28" s="121"/>
      <c r="H28" s="121"/>
      <c r="I28" s="121"/>
      <c r="J28" s="122"/>
    </row>
    <row r="30">
      <c r="A30" s="46"/>
      <c r="B30" s="46"/>
    </row>
    <row r="32" ht="34.799999999999997" customHeight="1">
      <c r="A32" s="46"/>
      <c r="B32" s="46"/>
      <c r="C32" s="46"/>
    </row>
  </sheetData>
  <mergeCells count="10">
    <mergeCell ref="A2:B2"/>
    <mergeCell ref="A3:B3"/>
    <mergeCell ref="A4:B4"/>
    <mergeCell ref="A5:A9"/>
    <mergeCell ref="A10:A14"/>
    <mergeCell ref="A17:A18"/>
    <mergeCell ref="B17:B18"/>
    <mergeCell ref="C17:G17"/>
    <mergeCell ref="C22:G22"/>
    <mergeCell ref="D25:J2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B13" activeCellId="0" sqref="B13"/>
    </sheetView>
  </sheetViews>
  <sheetFormatPr defaultRowHeight="14.25"/>
  <cols>
    <col bestFit="1" customWidth="1" min="1" max="1" style="141" width="42.203125"/>
    <col bestFit="1" customWidth="1" min="2" max="2" style="141" width="14.54296875"/>
    <col customWidth="1" min="3" max="3" style="141" width="10.7109375"/>
    <col bestFit="1" customWidth="1" min="4" max="4" style="141" width="42.203125"/>
    <col bestFit="1" customWidth="1" min="5" max="5" style="141" width="10.7734375"/>
    <col customWidth="1" min="6" max="6" style="141" width="12.140625"/>
    <col bestFit="1" customWidth="1" min="7" max="7" style="141" width="13.28125"/>
    <col bestFit="1" customWidth="1" min="8" max="9" style="141" width="17.05078125"/>
    <col min="10" max="10" style="141" width="8.88671875"/>
    <col min="11" max="16384" style="141" width="8.88671875"/>
  </cols>
  <sheetData>
    <row r="1" ht="14.4" customHeight="1">
      <c r="A1" s="142" t="s">
        <v>103</v>
      </c>
      <c r="B1" s="143"/>
      <c r="D1" s="142" t="s">
        <v>104</v>
      </c>
      <c r="E1" s="143"/>
      <c r="G1" s="144" t="s">
        <v>3</v>
      </c>
      <c r="H1" s="145">
        <v>4</v>
      </c>
      <c r="I1" s="146"/>
    </row>
    <row r="2" ht="14.4" customHeight="1">
      <c r="A2" s="147" t="s">
        <v>105</v>
      </c>
      <c r="B2" s="148" t="s">
        <v>106</v>
      </c>
      <c r="D2" s="149" t="s">
        <v>105</v>
      </c>
      <c r="E2" s="148" t="s">
        <v>106</v>
      </c>
      <c r="G2" s="150" t="s">
        <v>0</v>
      </c>
      <c r="H2" s="151" t="s">
        <v>107</v>
      </c>
      <c r="I2" s="152" t="s">
        <v>108</v>
      </c>
    </row>
    <row r="3" ht="14.4" customHeight="1">
      <c r="A3" s="150">
        <f>H5</f>
        <v>55</v>
      </c>
      <c r="B3" s="153">
        <f>H4</f>
        <v>15</v>
      </c>
      <c r="D3" s="150">
        <f>I5</f>
        <v>48</v>
      </c>
      <c r="E3" s="153">
        <f>I4</f>
        <v>10</v>
      </c>
      <c r="G3" s="154" t="s">
        <v>109</v>
      </c>
      <c r="H3" s="155">
        <v>170</v>
      </c>
      <c r="I3" s="156">
        <v>190</v>
      </c>
    </row>
    <row r="4" ht="14.4" customHeight="1">
      <c r="A4" s="154">
        <f>H7</f>
        <v>43</v>
      </c>
      <c r="B4" s="157">
        <f>H6</f>
        <v>20</v>
      </c>
      <c r="D4" s="154">
        <f>I7</f>
        <v>72</v>
      </c>
      <c r="E4" s="157">
        <f>I6</f>
        <v>15</v>
      </c>
      <c r="G4" s="154" t="s">
        <v>110</v>
      </c>
      <c r="H4" s="155">
        <v>15</v>
      </c>
      <c r="I4" s="156">
        <v>10</v>
      </c>
    </row>
    <row r="5" ht="14.4" customHeight="1">
      <c r="A5" s="158">
        <f>H9</f>
        <v>72</v>
      </c>
      <c r="B5" s="159">
        <f>H8</f>
        <v>30</v>
      </c>
      <c r="D5" s="158">
        <f>I9</f>
        <v>70</v>
      </c>
      <c r="E5" s="159">
        <f>I8</f>
        <v>20</v>
      </c>
      <c r="G5" s="154" t="s">
        <v>111</v>
      </c>
      <c r="H5" s="155">
        <v>55</v>
      </c>
      <c r="I5" s="156">
        <v>48</v>
      </c>
    </row>
    <row r="6" ht="14.4" customHeight="1">
      <c r="A6" s="141"/>
      <c r="B6" s="141"/>
      <c r="D6" s="141"/>
      <c r="E6" s="141"/>
      <c r="G6" s="154" t="s">
        <v>112</v>
      </c>
      <c r="H6" s="155">
        <v>20</v>
      </c>
      <c r="I6" s="156">
        <v>15</v>
      </c>
    </row>
    <row r="7" ht="14.4" customHeight="1">
      <c r="A7" s="160" t="s">
        <v>0</v>
      </c>
      <c r="B7" s="161" t="s">
        <v>113</v>
      </c>
      <c r="D7" s="160" t="s">
        <v>0</v>
      </c>
      <c r="E7" s="161" t="s">
        <v>113</v>
      </c>
      <c r="G7" s="154" t="s">
        <v>114</v>
      </c>
      <c r="H7" s="155">
        <v>43</v>
      </c>
      <c r="I7" s="156">
        <v>72</v>
      </c>
    </row>
    <row r="8" ht="14.4" customHeight="1">
      <c r="A8" s="162" t="s">
        <v>115</v>
      </c>
      <c r="B8" s="153">
        <f>H3</f>
        <v>170</v>
      </c>
      <c r="D8" s="162" t="s">
        <v>115</v>
      </c>
      <c r="E8" s="153">
        <f>I3</f>
        <v>190</v>
      </c>
      <c r="G8" s="154" t="s">
        <v>116</v>
      </c>
      <c r="H8" s="155">
        <v>30</v>
      </c>
      <c r="I8" s="156">
        <v>20</v>
      </c>
    </row>
    <row r="9" ht="14.4" customHeight="1">
      <c r="A9" s="163" t="s">
        <v>117</v>
      </c>
      <c r="B9" s="157">
        <f>((A3*B3)+(A4*B4)+(A5*B5))/B8</f>
        <v>22.617647058823529</v>
      </c>
      <c r="D9" s="163" t="s">
        <v>117</v>
      </c>
      <c r="E9" s="157">
        <f>((D3*E3)+(D4*E4)+(D5*E5))/E8</f>
        <v>15.578947368421053</v>
      </c>
      <c r="G9" s="158" t="s">
        <v>118</v>
      </c>
      <c r="H9" s="164">
        <v>72</v>
      </c>
      <c r="I9" s="165">
        <v>70</v>
      </c>
    </row>
    <row r="10" ht="14.4" customHeight="1">
      <c r="A10" s="163" t="s">
        <v>119</v>
      </c>
      <c r="B10" s="157">
        <f>((B3-B9)^2*A3+(B4-B9)^2*A4+(B5-B9)^2*A5)/B8</f>
        <v>43.589100346020764</v>
      </c>
      <c r="D10" s="163" t="s">
        <v>119</v>
      </c>
      <c r="E10" s="157">
        <f>((E3-E9)^2*D3+(E4-E9)^2*D4+(E5-E9)^2*D5)/E8</f>
        <v>15.191135734072022</v>
      </c>
    </row>
    <row r="11" ht="14.4" customHeight="1">
      <c r="A11" s="163" t="s">
        <v>120</v>
      </c>
      <c r="B11" s="157">
        <f>SQRT(B10)</f>
        <v>6.6022042035990349</v>
      </c>
      <c r="D11" s="163" t="s">
        <v>120</v>
      </c>
      <c r="E11" s="157">
        <f>SQRT(E10)</f>
        <v>3.8975807540154985</v>
      </c>
      <c r="G11" s="166" t="s">
        <v>121</v>
      </c>
      <c r="H11" s="167"/>
      <c r="I11" s="168"/>
    </row>
    <row r="12" ht="14.4" customHeight="1">
      <c r="A12" s="163" t="s">
        <v>122</v>
      </c>
      <c r="B12" s="157">
        <f>B11/B9*100</f>
        <v>29.190499729826687</v>
      </c>
      <c r="D12" s="163" t="s">
        <v>122</v>
      </c>
      <c r="E12" s="157">
        <f>E11/E9*100</f>
        <v>25.018254839964349</v>
      </c>
      <c r="G12" s="169"/>
      <c r="H12" s="170"/>
      <c r="I12" s="171"/>
    </row>
    <row r="13" ht="14.4" customHeight="1">
      <c r="A13" s="172" t="s">
        <v>123</v>
      </c>
      <c r="B13" s="165" t="str">
        <f>IF(AND(B12&gt;0,B12&lt;=9),"Слабая",IF(AND(B12&gt;10,B12&lt;=25),"Умеренная","Высокая"))</f>
        <v>Высокая</v>
      </c>
      <c r="D13" s="172" t="s">
        <v>123</v>
      </c>
      <c r="E13" s="165" t="str">
        <f>IF(AND(E12&gt;0,E12&lt;=9),"Слабая",IF(AND(E12&gt;10,E12&lt;=25),"Умеренная","Высокая"))</f>
        <v>Высокая</v>
      </c>
      <c r="F13" s="173"/>
      <c r="G13" s="169"/>
      <c r="H13" s="170"/>
      <c r="I13" s="171"/>
    </row>
    <row r="14" ht="14.4" customHeight="1">
      <c r="G14" s="169"/>
      <c r="H14" s="170"/>
      <c r="I14" s="171"/>
    </row>
    <row r="15" ht="14.25">
      <c r="G15" s="169"/>
      <c r="H15" s="170"/>
      <c r="I15" s="171"/>
    </row>
    <row r="16" ht="14.25">
      <c r="G16" s="174"/>
      <c r="H16" s="175"/>
      <c r="I16" s="176"/>
    </row>
  </sheetData>
  <mergeCells count="4">
    <mergeCell ref="A1:B1"/>
    <mergeCell ref="D1:E1"/>
    <mergeCell ref="H1:I1"/>
    <mergeCell ref="G11:I1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2015-06-05T18:19:34Z</dcterms:created>
  <dcterms:modified xsi:type="dcterms:W3CDTF">2023-03-01T19:17:05Z</dcterms:modified>
</cp:coreProperties>
</file>