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13_ncr:1_{B3CE7EF6-3E54-4747-9EAB-B502D6692FF7}" xr6:coauthVersionLast="47" xr6:coauthVersionMax="47" xr10:uidLastSave="{00000000-0000-0000-0000-000000000000}"/>
  <bookViews>
    <workbookView xWindow="-110" yWindow="-110" windowWidth="19420" windowHeight="11020" tabRatio="480" activeTab="1" xr2:uid="{65976C1F-B8C6-4EB9-9C73-3728E219A18B}"/>
  </bookViews>
  <sheets>
    <sheet name="Simulações" sheetId="1" r:id="rId1"/>
    <sheet name="Simule uma Compra" sheetId="5" r:id="rId2"/>
    <sheet name="Fundos de Investimento " sheetId="6" r:id="rId3"/>
    <sheet name="Cálculos" sheetId="4" state="hidden" r:id="rId4"/>
  </sheets>
  <definedNames>
    <definedName name="Código_dos_FI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5" l="1"/>
  <c r="I15" i="5"/>
  <c r="I13" i="5"/>
  <c r="G19" i="5"/>
  <c r="F19" i="6"/>
  <c r="F10" i="6"/>
  <c r="F8" i="6"/>
  <c r="I14" i="5"/>
  <c r="I16" i="5"/>
  <c r="I17" i="5"/>
  <c r="I18" i="5"/>
  <c r="I19" i="5"/>
  <c r="I20" i="5"/>
  <c r="I21" i="5"/>
  <c r="G13" i="5"/>
  <c r="G14" i="5"/>
  <c r="G15" i="5"/>
  <c r="G16" i="5"/>
  <c r="G17" i="5"/>
  <c r="G18" i="5"/>
  <c r="G20" i="5"/>
  <c r="G21" i="5"/>
  <c r="F22" i="6"/>
  <c r="F21" i="6"/>
  <c r="E21" i="6" a="1"/>
  <c r="E21" i="6"/>
  <c r="E22" i="6" a="1"/>
  <c r="E22" i="6"/>
  <c r="C21" i="6" a="1"/>
  <c r="C21" i="6"/>
  <c r="C22" i="6" a="1"/>
  <c r="C22" i="6"/>
  <c r="F20" i="6"/>
  <c r="F18" i="6"/>
  <c r="E18" i="6" a="1"/>
  <c r="E18" i="6"/>
  <c r="E20" i="6" a="1"/>
  <c r="E20" i="6"/>
  <c r="C20" i="6" a="1"/>
  <c r="C20" i="6"/>
  <c r="C18" i="6" a="1"/>
  <c r="C18" i="6"/>
  <c r="F17" i="6"/>
  <c r="F16" i="6"/>
  <c r="F15" i="6"/>
  <c r="E15" i="6" a="1"/>
  <c r="E15" i="6"/>
  <c r="E16" i="6" a="1"/>
  <c r="E16" i="6"/>
  <c r="E17" i="6" a="1"/>
  <c r="E17" i="6"/>
  <c r="C15" i="6" a="1"/>
  <c r="C15" i="6"/>
  <c r="C16" i="6" a="1"/>
  <c r="C16" i="6"/>
  <c r="C17" i="6" a="1"/>
  <c r="C17" i="6"/>
  <c r="F14" i="6"/>
  <c r="F13" i="6"/>
  <c r="F12" i="6"/>
  <c r="E14" i="6" a="1"/>
  <c r="E14" i="6"/>
  <c r="E13" i="6" a="1"/>
  <c r="E13" i="6"/>
  <c r="E12" i="6" a="1"/>
  <c r="E12" i="6"/>
  <c r="E9" i="6" a="1"/>
  <c r="E9" i="6"/>
  <c r="E11" i="6" a="1"/>
  <c r="E11" i="6"/>
  <c r="E16" i="1" s="1"/>
  <c r="F11" i="6"/>
  <c r="F9" i="6"/>
  <c r="J10" i="5"/>
  <c r="J11" i="5"/>
  <c r="J12" i="5"/>
  <c r="J13" i="5"/>
  <c r="J14" i="5"/>
  <c r="J15" i="5"/>
  <c r="J16" i="5"/>
  <c r="K5" i="1"/>
  <c r="J5" i="1"/>
  <c r="L9" i="4"/>
  <c r="K8" i="4"/>
  <c r="L7" i="4"/>
  <c r="L8" i="4" s="1"/>
  <c r="H27" i="1"/>
  <c r="H28" i="1"/>
  <c r="H29" i="1"/>
  <c r="H30" i="1"/>
  <c r="H31" i="1"/>
  <c r="H32" i="1"/>
  <c r="H33" i="1"/>
  <c r="H34" i="1"/>
  <c r="G27" i="1"/>
  <c r="G28" i="1"/>
  <c r="G29" i="1"/>
  <c r="G30" i="1"/>
  <c r="G31" i="1"/>
  <c r="G32" i="1"/>
  <c r="G33" i="1"/>
  <c r="G34" i="1"/>
  <c r="G26" i="1"/>
  <c r="H26" i="1"/>
  <c r="H21" i="1"/>
  <c r="G21" i="1"/>
  <c r="F4" i="4"/>
  <c r="E4" i="4"/>
  <c r="D4" i="4"/>
  <c r="C4" i="4"/>
  <c r="G14" i="1"/>
  <c r="H8" i="5" l="1"/>
  <c r="I8" i="5"/>
  <c r="F16" i="1"/>
  <c r="F9" i="1"/>
  <c r="E9" i="1"/>
  <c r="E11" i="1"/>
  <c r="E12" i="1"/>
  <c r="E10" i="1"/>
  <c r="E6" i="4"/>
  <c r="E7" i="4"/>
  <c r="E5" i="4"/>
  <c r="D6" i="4"/>
  <c r="D7" i="4"/>
  <c r="D5" i="4"/>
  <c r="F11" i="1" l="1"/>
  <c r="F12" i="1"/>
  <c r="F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4A7C2-59A6-4A25-B0C6-F3FA4D5F801A}" keepAlive="1" name="Consulta - FII" description="Conexão com a consulta 'FII' na pasta de trabalho." type="5" refreshedVersion="8" background="1" saveData="1">
    <dbPr connection="Provider=Microsoft.Mashup.OleDb.1;Data Source=$Workbook$;Location=FII;Extended Properties=&quot;&quot;" command="SELECT * FROM [FI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<sst xmlns="http://schemas.openxmlformats.org/spreadsheetml/2006/main" count="65" uniqueCount="46">
  <si>
    <t>Cenários de Investimento</t>
  </si>
  <si>
    <t>Nome do Fundo</t>
  </si>
  <si>
    <t>Quantidade de Cotas</t>
  </si>
  <si>
    <t>Valor Investido</t>
  </si>
  <si>
    <t xml:space="preserve">Valor do Dividendo </t>
  </si>
  <si>
    <t>JSRE11</t>
  </si>
  <si>
    <t>Dividend Yield</t>
  </si>
  <si>
    <t>Crie Seu Próprio Cenário</t>
  </si>
  <si>
    <r>
      <t>Obs: Há uma lista de fundos na guia "</t>
    </r>
    <r>
      <rPr>
        <b/>
        <sz val="11"/>
        <color theme="1"/>
        <rFont val="Segoe UI"/>
        <family val="2"/>
      </rPr>
      <t>FUNDOS DE INVESTIMENTO</t>
    </r>
    <r>
      <rPr>
        <sz val="11"/>
        <color theme="1"/>
        <rFont val="Segoe UI"/>
        <family val="2"/>
      </rPr>
      <t>" para simular valores fora dessa lista use a guia "</t>
    </r>
    <r>
      <rPr>
        <b/>
        <sz val="11"/>
        <color theme="1"/>
        <rFont val="Segoe UI"/>
        <family val="2"/>
      </rPr>
      <t>SIMULE UMA COMPRA</t>
    </r>
    <r>
      <rPr>
        <sz val="11"/>
        <color theme="1"/>
        <rFont val="Segoe UI"/>
        <family val="2"/>
      </rPr>
      <t>".</t>
    </r>
  </si>
  <si>
    <t>Dividendo</t>
  </si>
  <si>
    <r>
      <t>Obs: Cenários mais complexos podem ser feitos na guia "</t>
    </r>
    <r>
      <rPr>
        <b/>
        <sz val="11"/>
        <color theme="1"/>
        <rFont val="Segoe UI"/>
        <family val="2"/>
      </rPr>
      <t>SIMULE UMA COMPRA</t>
    </r>
    <r>
      <rPr>
        <sz val="11"/>
        <color theme="1"/>
        <rFont val="Segoe UI"/>
        <family val="2"/>
      </rPr>
      <t>"</t>
    </r>
  </si>
  <si>
    <t>Total do Valor Investido</t>
  </si>
  <si>
    <t>Total dos Dividendos</t>
  </si>
  <si>
    <t>Crie seu Portfólio de Investimentos</t>
  </si>
  <si>
    <t>Valor da Cota</t>
  </si>
  <si>
    <t>Dividend Yield (% a.m)</t>
  </si>
  <si>
    <t>Valor do Dividendo</t>
  </si>
  <si>
    <t>HGLG11</t>
  </si>
  <si>
    <t>BTHF11</t>
  </si>
  <si>
    <r>
      <t xml:space="preserve">Obs: Para o cálculo dos dividendos mensais é necessário o </t>
    </r>
    <r>
      <rPr>
        <b/>
        <sz val="11"/>
        <color theme="1"/>
        <rFont val="Segoe UI"/>
        <family val="2"/>
      </rPr>
      <t>DIVIDEND YIELD</t>
    </r>
    <r>
      <rPr>
        <sz val="11"/>
        <color theme="1"/>
        <rFont val="Segoe UI"/>
        <family val="2"/>
      </rPr>
      <t xml:space="preserve"> em valores mensais</t>
    </r>
  </si>
  <si>
    <t>Fonte:</t>
  </si>
  <si>
    <t>https://conteudos.xpi.com.br/fundos-imobiliarios/top-25-fundos-imobiliarios/</t>
  </si>
  <si>
    <t>Fundos</t>
  </si>
  <si>
    <t>Nome</t>
  </si>
  <si>
    <t>Valor</t>
  </si>
  <si>
    <t>Dividend Yield (a.m)</t>
  </si>
  <si>
    <t>BTGL11</t>
  </si>
  <si>
    <t>BTG PACTUAL LOGÍSTICA FII - BTLG11</t>
  </si>
  <si>
    <t>PVBI11</t>
  </si>
  <si>
    <t>XLPG11</t>
  </si>
  <si>
    <t>VBI PRIME PROPERTIES FII - PVBI11</t>
  </si>
  <si>
    <t>HGRU11</t>
  </si>
  <si>
    <t>BRCO11</t>
  </si>
  <si>
    <t>LVBI11</t>
  </si>
  <si>
    <t>RBFR11</t>
  </si>
  <si>
    <t>RBR ALPHA FUNDO DE FUNDOS FII - RBRF11</t>
  </si>
  <si>
    <t>Última Atualização:</t>
  </si>
  <si>
    <t>Cenários</t>
  </si>
  <si>
    <t>PorCotas</t>
  </si>
  <si>
    <t>Simulação de Investimento</t>
  </si>
  <si>
    <t>Valores</t>
  </si>
  <si>
    <t>AAGR11</t>
  </si>
  <si>
    <t>Quanto Investir</t>
  </si>
  <si>
    <t>Por Quantos Anos</t>
  </si>
  <si>
    <t>Rendimento Percentual Mensal</t>
  </si>
  <si>
    <t>Valor Total Recebido no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</si>
</sst>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[$-F800]dddd\,\ mmmm\ dd\,\ yyyy"/>
    <numFmt numFmtId="167" formatCode="[$-F400]h:mm:ss\ AM/PM"/>
    <numFmt numFmtId="168" formatCode="d/m/yy\ h:mm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  <font>
      <u/>
      <sz val="10"/>
      <color theme="10"/>
      <name val="Segoe UI"/>
      <family val="2"/>
    </font>
    <font>
      <b/>
      <sz val="11"/>
      <color theme="1"/>
      <name val="Segoe UI"/>
      <family val="2"/>
    </font>
    <font>
      <sz val="18"/>
      <color theme="1"/>
      <name val="Segoe UI Black"/>
      <family val="2"/>
    </font>
    <font>
      <b/>
      <sz val="11"/>
      <color rgb="FF000000"/>
      <name val="Segoe UI"/>
      <family val="2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2"/>
      </right>
      <top/>
      <bottom/>
      <diagonal/>
    </border>
    <border>
      <left/>
      <right/>
      <top style="medium">
        <color theme="2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17600024414813E-2"/>
      </bottom>
      <diagonal/>
    </border>
    <border>
      <left/>
      <right/>
      <top style="thin">
        <color theme="2" tint="-9.9948118533890809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4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4"/>
      </bottom>
      <diagonal/>
    </border>
    <border>
      <left/>
      <right/>
      <top style="thin">
        <color theme="2" tint="-9.9948118533890809E-2"/>
      </top>
      <bottom style="thin">
        <color theme="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44" fontId="0" fillId="0" borderId="0" xfId="1" applyFont="1"/>
    <xf numFmtId="165" fontId="0" fillId="0" borderId="0" xfId="0" applyNumberFormat="1"/>
    <xf numFmtId="44" fontId="0" fillId="0" borderId="0" xfId="0" applyNumberFormat="1"/>
    <xf numFmtId="0" fontId="0" fillId="0" borderId="1" xfId="0" applyBorder="1"/>
    <xf numFmtId="0" fontId="0" fillId="0" borderId="2" xfId="0" applyBorder="1"/>
    <xf numFmtId="9" fontId="0" fillId="0" borderId="0" xfId="2" applyFont="1" applyBorder="1"/>
    <xf numFmtId="44" fontId="0" fillId="0" borderId="3" xfId="1" applyFont="1" applyBorder="1"/>
    <xf numFmtId="0" fontId="4" fillId="0" borderId="0" xfId="0" applyFont="1"/>
    <xf numFmtId="9" fontId="4" fillId="0" borderId="0" xfId="2" applyFont="1"/>
    <xf numFmtId="0" fontId="5" fillId="0" borderId="0" xfId="3" applyFont="1"/>
    <xf numFmtId="0" fontId="4" fillId="0" borderId="5" xfId="0" applyFont="1" applyBorder="1"/>
    <xf numFmtId="166" fontId="2" fillId="0" borderId="5" xfId="0" applyNumberFormat="1" applyFont="1" applyBorder="1"/>
    <xf numFmtId="167" fontId="2" fillId="0" borderId="5" xfId="0" applyNumberFormat="1" applyFont="1" applyBorder="1"/>
    <xf numFmtId="0" fontId="0" fillId="0" borderId="5" xfId="0" applyBorder="1"/>
    <xf numFmtId="0" fontId="0" fillId="2" borderId="0" xfId="0" applyFill="1"/>
    <xf numFmtId="0" fontId="0" fillId="2" borderId="4" xfId="0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1" fontId="4" fillId="0" borderId="13" xfId="0" applyNumberFormat="1" applyFont="1" applyBorder="1"/>
    <xf numFmtId="44" fontId="4" fillId="0" borderId="13" xfId="1" applyFont="1" applyBorder="1"/>
    <xf numFmtId="165" fontId="4" fillId="0" borderId="14" xfId="0" applyNumberFormat="1" applyFont="1" applyBorder="1"/>
    <xf numFmtId="44" fontId="4" fillId="0" borderId="13" xfId="0" applyNumberFormat="1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1" fontId="4" fillId="0" borderId="22" xfId="0" applyNumberFormat="1" applyFont="1" applyBorder="1"/>
    <xf numFmtId="44" fontId="4" fillId="0" borderId="22" xfId="1" applyFont="1" applyBorder="1"/>
    <xf numFmtId="165" fontId="4" fillId="0" borderId="23" xfId="1" applyNumberFormat="1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8" fillId="0" borderId="0" xfId="0" applyFont="1"/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right"/>
    </xf>
    <xf numFmtId="10" fontId="0" fillId="0" borderId="0" xfId="2" applyNumberFormat="1" applyFont="1"/>
    <xf numFmtId="0" fontId="0" fillId="0" borderId="0" xfId="1" applyNumberFormat="1" applyFont="1"/>
    <xf numFmtId="49" fontId="0" fillId="0" borderId="0" xfId="0" applyNumberFormat="1"/>
    <xf numFmtId="49" fontId="0" fillId="0" borderId="0" xfId="1" applyNumberFormat="1" applyFont="1" applyAlignment="1">
      <alignment horizontal="left"/>
    </xf>
    <xf numFmtId="49" fontId="0" fillId="0" borderId="0" xfId="1" applyNumberFormat="1" applyFont="1"/>
    <xf numFmtId="0" fontId="3" fillId="0" borderId="0" xfId="3"/>
    <xf numFmtId="0" fontId="0" fillId="0" borderId="0" xfId="0" applyAlignment="1">
      <alignment horizontal="right"/>
    </xf>
    <xf numFmtId="168" fontId="0" fillId="0" borderId="0" xfId="0" applyNumberFormat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4" fontId="7" fillId="0" borderId="0" xfId="1" applyFont="1" applyBorder="1" applyAlignment="1">
      <alignment horizontal="center" vertical="center"/>
    </xf>
    <xf numFmtId="44" fontId="7" fillId="0" borderId="0" xfId="1" applyFont="1" applyAlignment="1">
      <alignment horizontal="center" vertical="center"/>
    </xf>
    <xf numFmtId="0" fontId="6" fillId="0" borderId="28" xfId="0" applyFont="1" applyBorder="1" applyAlignment="1" applyProtection="1">
      <alignment horizontal="center"/>
      <protection locked="0"/>
    </xf>
    <xf numFmtId="0" fontId="6" fillId="0" borderId="29" xfId="0" applyFont="1" applyBorder="1" applyAlignment="1" applyProtection="1">
      <alignment horizontal="center"/>
      <protection locked="0"/>
    </xf>
    <xf numFmtId="0" fontId="6" fillId="0" borderId="30" xfId="0" applyFont="1" applyBorder="1" applyAlignment="1" applyProtection="1">
      <alignment horizontal="center"/>
      <protection locked="0"/>
    </xf>
    <xf numFmtId="0" fontId="9" fillId="3" borderId="0" xfId="0" applyFont="1" applyFill="1" applyProtection="1">
      <protection locked="0"/>
    </xf>
    <xf numFmtId="1" fontId="9" fillId="3" borderId="27" xfId="0" applyNumberFormat="1" applyFont="1" applyFill="1" applyBorder="1" applyProtection="1">
      <protection locked="0"/>
    </xf>
    <xf numFmtId="0" fontId="4" fillId="0" borderId="27" xfId="0" applyFont="1" applyBorder="1" applyProtection="1">
      <protection locked="0"/>
    </xf>
    <xf numFmtId="44" fontId="4" fillId="0" borderId="27" xfId="1" applyFont="1" applyBorder="1" applyProtection="1">
      <protection locked="0"/>
    </xf>
    <xf numFmtId="1" fontId="4" fillId="0" borderId="27" xfId="0" applyNumberFormat="1" applyFont="1" applyBorder="1" applyProtection="1">
      <protection locked="0"/>
    </xf>
    <xf numFmtId="10" fontId="4" fillId="0" borderId="27" xfId="2" applyNumberFormat="1" applyFont="1" applyBorder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4" fillId="0" borderId="0" xfId="0" applyFont="1" applyProtection="1">
      <protection locked="0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  <protection locked="0" hidden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</dxfs>
  <tableStyles count="0" defaultTableStyle="TableStyleMedium2" defaultPivotStyle="PivotStyleLight16"/>
  <colors>
    <mruColors>
      <color rgb="FF7AC6D2"/>
      <color rgb="FF3A59D1"/>
      <color rgb="FF3D90D7"/>
      <color rgb="FFB5FCCD"/>
      <color rgb="FFDFD0B8"/>
      <color rgb="FF948979"/>
      <color rgb="FF393E46"/>
      <color rgb="FF2228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5" Type="http://schemas.openxmlformats.org/officeDocument/2006/relationships/hyperlink" Target="#'Fundos de Investimento '!C8"/><Relationship Id="rId4" Type="http://schemas.openxmlformats.org/officeDocument/2006/relationships/hyperlink" Target="#'Simule um Portf&#243;lio'!D13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7" Type="http://schemas.openxmlformats.org/officeDocument/2006/relationships/image" Target="../media/image4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6" Type="http://schemas.openxmlformats.org/officeDocument/2006/relationships/image" Target="../media/image3.png"/><Relationship Id="rId5" Type="http://schemas.openxmlformats.org/officeDocument/2006/relationships/hyperlink" Target="#'Fundos de Investimento '!C8"/><Relationship Id="rId4" Type="http://schemas.openxmlformats.org/officeDocument/2006/relationships/hyperlink" Target="#'Simule um Portf&#243;lio'!D13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5" Type="http://schemas.openxmlformats.org/officeDocument/2006/relationships/hyperlink" Target="#'Fundos de Investimento '!C8"/><Relationship Id="rId4" Type="http://schemas.openxmlformats.org/officeDocument/2006/relationships/hyperlink" Target="#'Fundos de Investimento '!D1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3" name="Gráfico 2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EED09-C1EF-4A19-4FC0-7E2F55919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5</xdr:col>
      <xdr:colOff>1498600</xdr:colOff>
      <xdr:row>3</xdr:row>
      <xdr:rowOff>44450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60935E2-E2F3-B929-C599-9FCA3AE15FBC}"/>
            </a:ext>
          </a:extLst>
        </xdr:cNvPr>
        <xdr:cNvSpPr txBox="1"/>
      </xdr:nvSpPr>
      <xdr:spPr>
        <a:xfrm>
          <a:off x="1320800" y="127000"/>
          <a:ext cx="70993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 editAs="absolute">
    <xdr:from>
      <xdr:col>0</xdr:col>
      <xdr:colOff>11112</xdr:colOff>
      <xdr:row>7</xdr:row>
      <xdr:rowOff>50800</xdr:rowOff>
    </xdr:from>
    <xdr:to>
      <xdr:col>0</xdr:col>
      <xdr:colOff>1319212</xdr:colOff>
      <xdr:row>9</xdr:row>
      <xdr:rowOff>69850</xdr:rowOff>
    </xdr:to>
    <xdr:sp macro="" textlink="">
      <xdr:nvSpPr>
        <xdr:cNvPr id="8" name="Retângulo: Cantos Arredondados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C1009-9FFC-B147-DBBE-F902344F5047}"/>
            </a:ext>
          </a:extLst>
        </xdr:cNvPr>
        <xdr:cNvSpPr/>
      </xdr:nvSpPr>
      <xdr:spPr>
        <a:xfrm>
          <a:off x="11112" y="142240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>
    <xdr:from>
      <xdr:col>0</xdr:col>
      <xdr:colOff>11112</xdr:colOff>
      <xdr:row>10</xdr:row>
      <xdr:rowOff>130175</xdr:rowOff>
    </xdr:from>
    <xdr:to>
      <xdr:col>0</xdr:col>
      <xdr:colOff>1319212</xdr:colOff>
      <xdr:row>12</xdr:row>
      <xdr:rowOff>149225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3E791DD-1078-B1DB-F0D5-614A3E6585DC}"/>
            </a:ext>
          </a:extLst>
        </xdr:cNvPr>
        <xdr:cNvSpPr/>
      </xdr:nvSpPr>
      <xdr:spPr>
        <a:xfrm>
          <a:off x="11112" y="2130425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11112</xdr:colOff>
      <xdr:row>14</xdr:row>
      <xdr:rowOff>0</xdr:rowOff>
    </xdr:from>
    <xdr:to>
      <xdr:col>0</xdr:col>
      <xdr:colOff>1319212</xdr:colOff>
      <xdr:row>16</xdr:row>
      <xdr:rowOff>19050</xdr:rowOff>
    </xdr:to>
    <xdr:sp macro="" textlink="">
      <xdr:nvSpPr>
        <xdr:cNvPr id="17" name="Retângulo: Cantos Arredondado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EB214D-7C5A-A229-36CB-375DF7A1A993}"/>
            </a:ext>
          </a:extLst>
        </xdr:cNvPr>
        <xdr:cNvSpPr/>
      </xdr:nvSpPr>
      <xdr:spPr>
        <a:xfrm>
          <a:off x="11112" y="28384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20" name="Gráfico 19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CB937-C1C5-47F0-9796-D6F32C027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5556</xdr:colOff>
      <xdr:row>10</xdr:row>
      <xdr:rowOff>63500</xdr:rowOff>
    </xdr:from>
    <xdr:to>
      <xdr:col>0</xdr:col>
      <xdr:colOff>1313656</xdr:colOff>
      <xdr:row>12</xdr:row>
      <xdr:rowOff>82550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7A408A-FF04-4E19-AE3F-6580760A90AC}"/>
            </a:ext>
          </a:extLst>
        </xdr:cNvPr>
        <xdr:cNvSpPr/>
      </xdr:nvSpPr>
      <xdr:spPr>
        <a:xfrm>
          <a:off x="5556" y="20637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5556</xdr:colOff>
      <xdr:row>14</xdr:row>
      <xdr:rowOff>0</xdr:rowOff>
    </xdr:from>
    <xdr:to>
      <xdr:col>0</xdr:col>
      <xdr:colOff>1313656</xdr:colOff>
      <xdr:row>16</xdr:row>
      <xdr:rowOff>19050</xdr:rowOff>
    </xdr:to>
    <xdr:sp macro="" textlink="">
      <xdr:nvSpPr>
        <xdr:cNvPr id="22" name="Retângulo: Cantos Arredondados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D4A6B9-CAF7-4FDB-B823-131BC7756341}"/>
            </a:ext>
          </a:extLst>
        </xdr:cNvPr>
        <xdr:cNvSpPr/>
      </xdr:nvSpPr>
      <xdr:spPr>
        <a:xfrm>
          <a:off x="5556" y="2578100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  <xdr:twoCellAnchor editAs="absolute">
    <xdr:from>
      <xdr:col>0</xdr:col>
      <xdr:colOff>5556</xdr:colOff>
      <xdr:row>6</xdr:row>
      <xdr:rowOff>133350</xdr:rowOff>
    </xdr:from>
    <xdr:to>
      <xdr:col>0</xdr:col>
      <xdr:colOff>1313656</xdr:colOff>
      <xdr:row>8</xdr:row>
      <xdr:rowOff>152400</xdr:rowOff>
    </xdr:to>
    <xdr:sp macro="" textlink="">
      <xdr:nvSpPr>
        <xdr:cNvPr id="23" name="Retângulo: Cantos Arredondados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CA538-101A-405F-A24E-4FA9E664A112}"/>
            </a:ext>
          </a:extLst>
        </xdr:cNvPr>
        <xdr:cNvSpPr/>
      </xdr:nvSpPr>
      <xdr:spPr>
        <a:xfrm>
          <a:off x="5556" y="12890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 editAs="absolute"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57150</xdr:rowOff>
    </xdr:to>
    <xdr:pic>
      <xdr:nvPicPr>
        <xdr:cNvPr id="24" name="Gráfico 23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8C9F-8602-41EC-ACDC-5BB4877B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8</xdr:col>
      <xdr:colOff>1428750</xdr:colOff>
      <xdr:row>3</xdr:row>
      <xdr:rowOff>44450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597E6F58-D48C-45A5-B3FA-96EC90B48923}"/>
            </a:ext>
          </a:extLst>
        </xdr:cNvPr>
        <xdr:cNvSpPr txBox="1"/>
      </xdr:nvSpPr>
      <xdr:spPr>
        <a:xfrm>
          <a:off x="1320800" y="127000"/>
          <a:ext cx="767715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>
    <xdr:from>
      <xdr:col>7</xdr:col>
      <xdr:colOff>1054100</xdr:colOff>
      <xdr:row>23</xdr:row>
      <xdr:rowOff>14961</xdr:rowOff>
    </xdr:from>
    <xdr:to>
      <xdr:col>9</xdr:col>
      <xdr:colOff>31750</xdr:colOff>
      <xdr:row>34</xdr:row>
      <xdr:rowOff>152400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CA5C180-5839-8BF0-845B-F7EE4CD63C35}"/>
            </a:ext>
          </a:extLst>
        </xdr:cNvPr>
        <xdr:cNvGrpSpPr/>
      </xdr:nvGrpSpPr>
      <xdr:grpSpPr>
        <a:xfrm>
          <a:off x="8843433" y="4770405"/>
          <a:ext cx="2491317" cy="2183551"/>
          <a:chOff x="8864600" y="1409700"/>
          <a:chExt cx="2381250" cy="2482850"/>
        </a:xfrm>
      </xdr:grpSpPr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11B389B1-1391-41DF-85B4-9E21BB7DF668}"/>
              </a:ext>
            </a:extLst>
          </xdr:cNvPr>
          <xdr:cNvSpPr/>
        </xdr:nvSpPr>
        <xdr:spPr>
          <a:xfrm>
            <a:off x="8864600" y="1409700"/>
            <a:ext cx="2381250" cy="248285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lvl="0" algn="l"/>
            <a:endParaRPr lang="pt-BR" sz="1100"/>
          </a:p>
          <a:p>
            <a:pPr lvl="0" algn="ctr"/>
            <a:r>
              <a:rPr lang="pt-BR" sz="1100" b="1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Instruções</a:t>
            </a:r>
            <a:r>
              <a:rPr lang="pt-BR" sz="1100" b="1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 de Uso:</a:t>
            </a:r>
          </a:p>
          <a:p>
            <a:pPr lvl="0" algn="l"/>
            <a:endParaRPr lang="pt-BR" sz="1100" baseline="0">
              <a:solidFill>
                <a:schemeClr val="tx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endParaRPr>
          </a:p>
          <a:p>
            <a:pPr lvl="0" algn="l"/>
            <a:r>
              <a:rPr lang="pt-BR" sz="1050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Completar a tabela, somente um TAB na última celular na coluna "</a:t>
            </a:r>
            <a:r>
              <a:rPr lang="pt-BR" sz="1050" b="1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VALOR DO DIVIDENDO</a:t>
            </a:r>
            <a:r>
              <a:rPr lang="pt-BR" sz="1050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" fará com que a tabela creça 1 linha.</a:t>
            </a:r>
          </a:p>
        </xdr:txBody>
      </xdr:sp>
      <xdr:pic>
        <xdr:nvPicPr>
          <xdr:cNvPr id="27" name="Gráfico 26" descr="Aviso estrutura de tópicos">
            <a:extLst>
              <a:ext uri="{FF2B5EF4-FFF2-40B4-BE49-F238E27FC236}">
                <a16:creationId xmlns:a16="http://schemas.microsoft.com/office/drawing/2014/main" id="{9286C3F6-C410-42A2-887D-4E1701481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 flipH="1">
            <a:off x="9861386" y="1487280"/>
            <a:ext cx="519661" cy="44461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2" name="Gráfico 1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2A11A-4ACF-41A8-83EA-5942D20F8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3" name="Gráfico 2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2AAE4-0DC3-4A69-8975-501969EE5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4" name="Gráfico 3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33E59-74C4-4C85-90B0-3A1095879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2778</xdr:colOff>
      <xdr:row>10</xdr:row>
      <xdr:rowOff>117475</xdr:rowOff>
    </xdr:from>
    <xdr:to>
      <xdr:col>0</xdr:col>
      <xdr:colOff>1310878</xdr:colOff>
      <xdr:row>12</xdr:row>
      <xdr:rowOff>136525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63D665-B3FD-44E1-A52B-A3A7F2E51D7C}"/>
            </a:ext>
          </a:extLst>
        </xdr:cNvPr>
        <xdr:cNvSpPr/>
      </xdr:nvSpPr>
      <xdr:spPr>
        <a:xfrm>
          <a:off x="2778" y="1952625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2778</xdr:colOff>
      <xdr:row>14</xdr:row>
      <xdr:rowOff>0</xdr:rowOff>
    </xdr:from>
    <xdr:to>
      <xdr:col>0</xdr:col>
      <xdr:colOff>1310878</xdr:colOff>
      <xdr:row>16</xdr:row>
      <xdr:rowOff>19050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450425-3F32-4AF9-8F3C-84FD88363F9D}"/>
            </a:ext>
          </a:extLst>
        </xdr:cNvPr>
        <xdr:cNvSpPr/>
      </xdr:nvSpPr>
      <xdr:spPr>
        <a:xfrm>
          <a:off x="2778" y="2571750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  <xdr:twoCellAnchor editAs="absolute">
    <xdr:from>
      <xdr:col>0</xdr:col>
      <xdr:colOff>0</xdr:colOff>
      <xdr:row>7</xdr:row>
      <xdr:rowOff>0</xdr:rowOff>
    </xdr:from>
    <xdr:to>
      <xdr:col>0</xdr:col>
      <xdr:colOff>1308100</xdr:colOff>
      <xdr:row>9</xdr:row>
      <xdr:rowOff>69850</xdr:rowOff>
    </xdr:to>
    <xdr:sp macro="" textlink="">
      <xdr:nvSpPr>
        <xdr:cNvPr id="7" name="Retângulo: Cantos Arredondado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4F4AF-0007-452B-9B06-1CCF4E7DCFEF}"/>
            </a:ext>
          </a:extLst>
        </xdr:cNvPr>
        <xdr:cNvSpPr/>
      </xdr:nvSpPr>
      <xdr:spPr>
        <a:xfrm>
          <a:off x="0" y="12890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8" name="Gráfico 7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3A6D9-E706-4A1C-B4D0-FF8BA7F6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9" name="Gráfico 8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A1ECA-565B-446B-A3F2-3B4B19A53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9</xdr:col>
      <xdr:colOff>133350</xdr:colOff>
      <xdr:row>3</xdr:row>
      <xdr:rowOff>44450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8BF18934-31A4-419A-81D5-2B920487CCFD}"/>
            </a:ext>
          </a:extLst>
        </xdr:cNvPr>
        <xdr:cNvSpPr txBox="1"/>
      </xdr:nvSpPr>
      <xdr:spPr>
        <a:xfrm>
          <a:off x="1320800" y="127000"/>
          <a:ext cx="512445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11" name="Gráfico 10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21E98-EADD-428F-9D7D-15137F48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6">
  <rv s="0">
    <v>https://www.bing.com/financeapi/forcetrigger?t=bvbt9c&amp;q=BVMF%3aPVBI11&amp;form=skydnc</v>
    <v>Learn more on Bing</v>
  </rv>
  <rv s="1">
    <v>pt-BR</v>
    <v>bvbt9c</v>
    <v>268435456</v>
    <v>1</v>
    <v>Da plataforma Refinitiv</v>
    <v>0</v>
    <v>1</v>
    <v>FII VBI PRIME PROPERTIES CF (BVMF:PVBI11)</v>
    <v>3</v>
    <v>4</v>
    <v>Finance</v>
    <v>5</v>
    <v>91.29</v>
    <v>65.290000000000006</v>
    <v>BVMF</v>
    <v>78.77</v>
    <v>77.8</v>
    <v>B3 - Brazil Stock Exchange</v>
    <v>79.19</v>
    <v>45810.56653935185</v>
    <v>0</v>
    <v>BRL</v>
    <v>FII VBI PRIME PROPERTIES CF</v>
    <v>78.19</v>
    <v>78.010000000000005</v>
    <v>PVBI11</v>
    <v>Fundos mais negociados</v>
    <v>FII VBI PRIME PROPERTIES CF (BVMF:PVBI11)</v>
    <v>-1.18</v>
    <v>-1.4900999999999999E-2</v>
    <v>8178</v>
  </rv>
  <rv s="2">
    <v>1</v>
  </rv>
  <rv s="0">
    <v>https://www.bing.com/financeapi/forcetrigger?t=apmthw&amp;q=BVMF%3aJSRE11&amp;form=skydnc</v>
    <v>Learn more on Bing</v>
  </rv>
  <rv s="1">
    <v>pt-BR</v>
    <v>apmthw</v>
    <v>268435456</v>
    <v>1</v>
    <v>Da plataforma Refinitiv</v>
    <v>0</v>
    <v>1</v>
    <v>FII JS REAL ESTATE MULTIGESTAO ETF (BVMF:JSRE11)</v>
    <v>3</v>
    <v>4</v>
    <v>Finance</v>
    <v>5</v>
    <v>65.569999999999993</v>
    <v>49.59</v>
    <v>BVMF</v>
    <v>64.58</v>
    <v>63.71</v>
    <v>B3 - Brazil Stock Exchange</v>
    <v>64.52</v>
    <v>45810.56645428203</v>
    <v>3</v>
    <v>BRL</v>
    <v>FII JS REAL ESTATE MULTIGESTAO ETF</v>
    <v>63.71</v>
    <v>64.11</v>
    <v>JSRE11</v>
    <v>Fundos mais negociados</v>
    <v>FII JS REAL ESTATE MULTIGESTAO ETF (BVMF:JSRE11)</v>
    <v>-0.41</v>
    <v>-6.3549999999999995E-3</v>
    <v>5193</v>
  </rv>
  <rv s="2">
    <v>4</v>
  </rv>
  <rv s="0">
    <v>https://www.bing.com/financeapi/forcetrigger?t=bgmff2&amp;q=BVMF%3aHGRU11&amp;form=skydnc</v>
    <v>Learn more on Bing</v>
  </rv>
  <rv s="1">
    <v>pt-BR</v>
    <v>bgmff2</v>
    <v>268435456</v>
    <v>1</v>
    <v>Da plataforma Refinitiv</v>
    <v>0</v>
    <v>1</v>
    <v>CSHG RENDA URBANA FII CF (BVMF:HGRU11)</v>
    <v>3</v>
    <v>4</v>
    <v>Finance</v>
    <v>5</v>
    <v>125.99</v>
    <v>102.53</v>
    <v>BVMF</v>
    <v>122.59</v>
    <v>121.86</v>
    <v>B3 - Brazil Stock Exchange</v>
    <v>121.6</v>
    <v>45810.566529803124</v>
    <v>6</v>
    <v>BRL</v>
    <v>CSHG RENDA URBANA FII CF</v>
    <v>122.5</v>
    <v>121.89</v>
    <v>HGRU11</v>
    <v>Fundos mais negociados</v>
    <v>CSHG RENDA URBANA FII CF (BVMF:HGRU11)</v>
    <v>0.28999999999999998</v>
    <v>2.385E-3</v>
    <v>2181</v>
  </rv>
  <rv s="2">
    <v>7</v>
  </rv>
  <rv s="0">
    <v>https://www.bing.com/financeapi/forcetrigger?t=bt3oh7&amp;q=BVMF%3aBRCO11&amp;form=skydnc</v>
    <v>Learn more on Bing</v>
  </rv>
  <rv s="1">
    <v>pt-BR</v>
    <v>bt3oh7</v>
    <v>268435456</v>
    <v>1</v>
    <v>Da plataforma Refinitiv</v>
    <v>0</v>
    <v>1</v>
    <v>BRESCO LOGISTICA - FDO INV IMOB (BVMF:BRCO11)</v>
    <v>3</v>
    <v>4</v>
    <v>Finance</v>
    <v>5</v>
    <v>113.3</v>
    <v>89.6</v>
    <v>BVMF</v>
    <v>109.69</v>
    <v>108.45</v>
    <v>B3 - Brazil Stock Exchange</v>
    <v>108.43</v>
    <v>45810.566550925927</v>
    <v>9</v>
    <v>BRL</v>
    <v>BRESCO LOGISTICA - FDO INV IMOB</v>
    <v>108.86</v>
    <v>108.72</v>
    <v>BRCO11</v>
    <v>Fundos mais negociados</v>
    <v>BRESCO LOGISTICA - FDO INV IMOB (BVMF:BRCO11)</v>
    <v>0.28999999999999998</v>
    <v>2.6750000000000003E-3</v>
    <v>6070</v>
  </rv>
  <rv s="2">
    <v>10</v>
  </rv>
  <rv s="0">
    <v>https://www.bing.com/financeapi/forcetrigger?t=bo1827&amp;q=BVMF%3aLVBI11&amp;form=skydnc</v>
    <v>Learn more on Bing</v>
  </rv>
  <rv s="1">
    <v>pt-BR</v>
    <v>bo1827</v>
    <v>268435456</v>
    <v>1</v>
    <v>Da plataforma Refinitiv</v>
    <v>0</v>
    <v>1</v>
    <v>FDO INV IMOB VBI LOGISTICO ETF (BVMF:LVBI11)</v>
    <v>3</v>
    <v>4</v>
    <v>Finance</v>
    <v>5</v>
    <v>108.58</v>
    <v>84.49</v>
    <v>BVMF</v>
    <v>101.23</v>
    <v>100.3</v>
    <v>B3 - Brazil Stock Exchange</v>
    <v>100.83</v>
    <v>45810.566514375001</v>
    <v>12</v>
    <v>BRL</v>
    <v>FDO INV IMOB VBI LOGISTICO ETF</v>
    <v>101.23</v>
    <v>100.91</v>
    <v>LVBI11</v>
    <v>Fundos mais negociados</v>
    <v>FDO INV IMOB VBI LOGISTICO ETF (BVMF:LVBI11)</v>
    <v>0.08</v>
    <v>7.9339999999999999E-4</v>
    <v>1599</v>
  </rv>
  <rv s="2">
    <v>13</v>
  </rv>
  <rv s="0">
    <v>https://www.bing.com/financeapi/forcetrigger?t=apnk7w&amp;q=BVMF%3aVISC11&amp;form=skydnc</v>
    <v>Learn more on Bing</v>
  </rv>
  <rv s="1">
    <v>pt-BR</v>
    <v>apnk7w</v>
    <v>268435456</v>
    <v>1</v>
    <v>Da plataforma Refinitiv</v>
    <v>0</v>
    <v>1</v>
    <v>VINCI SHOPPING CENTERS FDO INVEST IMOB CF (BVMF:VISC11)</v>
    <v>3</v>
    <v>4</v>
    <v>Finance</v>
    <v>5</v>
    <v>110.97</v>
    <v>81.849999999999994</v>
    <v>BVMF</v>
    <v>104.17</v>
    <v>103.18</v>
    <v>B3 - Brazil Stock Exchange</v>
    <v>103.5</v>
    <v>45810.566562499997</v>
    <v>15</v>
    <v>BRL</v>
    <v>VINCI SHOPPING CENTERS FDO INVEST IMOB CF</v>
    <v>103.89</v>
    <v>103.46</v>
    <v>VISC11</v>
    <v>Fundos mais negociados</v>
    <v>VINCI SHOPPING CENTERS FDO INVEST IMOB CF (BVMF:VISC11)</v>
    <v>-0.04</v>
    <v>-3.8649999999999996E-4</v>
    <v>6784</v>
  </rv>
  <rv s="2">
    <v>16</v>
  </rv>
  <rv s="0">
    <v>https://www.bing.com/financeapi/forcetrigger?t=apmu8m&amp;q=BVMF%3aKNCR11&amp;form=skydnc</v>
    <v>Learn more on Bing</v>
  </rv>
  <rv s="1">
    <v>pt-BR</v>
    <v>apmu8m</v>
    <v>268435456</v>
    <v>1</v>
    <v>Da plataforma Refinitiv</v>
    <v>0</v>
    <v>1</v>
    <v>FDO INV IMOB KINEA RENDIMENTOS ETF (BVMF:KNCR11)</v>
    <v>3</v>
    <v>4</v>
    <v>Finance</v>
    <v>5</v>
    <v>104.8</v>
    <v>90</v>
    <v>BVMF</v>
    <v>103.95</v>
    <v>103.23</v>
    <v>B3 - Brazil Stock Exchange</v>
    <v>103.42</v>
    <v>45810.566573529686</v>
    <v>18</v>
    <v>BRL</v>
    <v>FDO INV IMOB KINEA RENDIMENTOS ETF</v>
    <v>103.55</v>
    <v>103.59</v>
    <v>KNCR11</v>
    <v>Fundos mais negociados</v>
    <v>FDO INV IMOB KINEA RENDIMENTOS ETF (BVMF:KNCR11)</v>
    <v>0.17</v>
    <v>1.6439999999999998E-3</v>
    <v>24885</v>
  </rv>
  <rv s="2">
    <v>19</v>
  </rv>
  <rv s="0">
    <v>https://www.bing.com/financeapi/forcetrigger?t=bt6vk2&amp;q=BVMF%3aMCCI11&amp;form=skydnc</v>
    <v>Learn more on Bing</v>
  </rv>
  <rv s="1">
    <v>pt-BR</v>
    <v>bt6vk2</v>
    <v>268435456</v>
    <v>1</v>
    <v>Da plataforma Refinitiv</v>
    <v>0</v>
    <v>1</v>
    <v>FDO INV. MAUA CAPITAL RECEBIVEIS IMOB. - FII ETF (BVMF:MCCI11)</v>
    <v>3</v>
    <v>4</v>
    <v>Finance</v>
    <v>5</v>
    <v>85.86</v>
    <v>66.319999999999993</v>
    <v>BVMF</v>
    <v>85.8</v>
    <v>85.28</v>
    <v>B3 - Brazil Stock Exchange</v>
    <v>85.49</v>
    <v>45810.566442464842</v>
    <v>21</v>
    <v>BRL</v>
    <v>FDO INV. MAUA CAPITAL RECEBIVEIS IMOB. - FII ETF</v>
    <v>85.71</v>
    <v>85.5</v>
    <v>MCCI11</v>
    <v>Fundos mais negociados</v>
    <v>FDO INV. MAUA CAPITAL RECEBIVEIS IMOB. - FII ETF (BVMF:MCCI11)</v>
    <v>0.01</v>
    <v>1.17E-4</v>
    <v>1913</v>
  </rv>
  <rv s="2">
    <v>22</v>
  </rv>
  <rv s="0">
    <v>https://www.bing.com/financeapi/forcetrigger?t=bjm627&amp;q=BVMF%3aRBRR11&amp;form=skydnc</v>
    <v>Learn more on Bing</v>
  </rv>
  <rv s="1">
    <v>pt-BR</v>
    <v>bjm627</v>
    <v>268435456</v>
    <v>1</v>
    <v>Da plataforma Refinitiv</v>
    <v>0</v>
    <v>1</v>
    <v>FII RBR RENDIMENTO HIGH GRADE CF (BVMF:RBRR11)</v>
    <v>3</v>
    <v>4</v>
    <v>Finance</v>
    <v>5</v>
    <v>88.41</v>
    <v>69.900000000000006</v>
    <v>BVMF</v>
    <v>88.41</v>
    <v>87.37</v>
    <v>B3 - Brazil Stock Exchange</v>
    <v>87.97</v>
    <v>45810.566527777781</v>
    <v>24</v>
    <v>BRL</v>
    <v>FII RBR RENDIMENTO HIGH GRADE CF</v>
    <v>88.41</v>
    <v>87.5</v>
    <v>RBRR11</v>
    <v>Fundos mais negociados</v>
    <v>FII RBR RENDIMENTO HIGH GRADE CF (BVMF:RBRR11)</v>
    <v>-0.47</v>
    <v>-5.3429999999999997E-3</v>
    <v>3176</v>
  </rv>
  <rv s="2">
    <v>25</v>
  </rv>
  <rv s="0">
    <v>https://www.bing.com/financeapi/forcetrigger?t=brxtgh&amp;q=BVMF%3aTEPP11&amp;form=skydnc</v>
    <v>Learn more on Bing</v>
  </rv>
  <rv s="1">
    <v>pt-BR</v>
    <v>brxtgh</v>
    <v>268435456</v>
    <v>1</v>
    <v>Da plataforma Refinitiv</v>
    <v>0</v>
    <v>1</v>
    <v>SDI PROPERTIES - FDO INV IMOB ETF (BVMF:TEPP11)</v>
    <v>3</v>
    <v>4</v>
    <v>Finance</v>
    <v>5</v>
    <v>89</v>
    <v>67.56</v>
    <v>BVMF</v>
    <v>82.65</v>
    <v>82.06</v>
    <v>B3 - Brazil Stock Exchange</v>
    <v>82.65</v>
    <v>45810.566546307811</v>
    <v>27</v>
    <v>BRL</v>
    <v>SDI PROPERTIES - FDO INV IMOB ETF</v>
    <v>82.65</v>
    <v>82.6</v>
    <v>TEPP11</v>
    <v>Fundos mais negociados</v>
    <v>SDI PROPERTIES - FDO INV IMOB ETF (BVMF:TEPP11)</v>
    <v>-0.05</v>
    <v>-6.0499999999999996E-4</v>
    <v>1302</v>
  </rv>
  <rv s="2">
    <v>28</v>
  </rv>
  <rv s="0">
    <v>https://www.bing.com/financeapi/forcetrigger?t=brziec&amp;q=BVMF%3aCVBI11&amp;form=skydnc</v>
    <v>Learn more on Bing</v>
  </rv>
  <rv s="1">
    <v>pt-BR</v>
    <v>brziec</v>
    <v>268435456</v>
    <v>1</v>
    <v>Da plataforma Refinitiv</v>
    <v>0</v>
    <v>1</v>
    <v>FDO INV IMOB VBI CRI ETF (BVMF:CVBI11)</v>
    <v>3</v>
    <v>4</v>
    <v>Finance</v>
    <v>5</v>
    <v>88.8</v>
    <v>67.739999999999995</v>
    <v>BVMF</v>
    <v>87.48</v>
    <v>86.81</v>
    <v>B3 - Brazil Stock Exchange</v>
    <v>86.89</v>
    <v>45810.56657365703</v>
    <v>30</v>
    <v>BRL</v>
    <v>FDO INV IMOB VBI CRI ETF</v>
    <v>87.48</v>
    <v>86.9</v>
    <v>CVBI11</v>
    <v>Fundos mais negociados</v>
    <v>FDO INV IMOB VBI CRI ETF (BVMF:CVBI11)</v>
    <v>0.01</v>
    <v>1.1509999999999999E-4</v>
    <v>1663</v>
  </rv>
  <rv s="2">
    <v>31</v>
  </rv>
  <rv s="0">
    <v>https://www.bing.com/financeapi/forcetrigger?t=bt968m&amp;q=BVMF%3aXPCI11&amp;form=skydnc</v>
    <v>Learn more on Bing</v>
  </rv>
  <rv s="1">
    <v>pt-BR</v>
    <v>bt968m</v>
    <v>268435456</v>
    <v>1</v>
    <v>Da plataforma Refinitiv</v>
    <v>0</v>
    <v>1</v>
    <v>XP CREDITO IMOBILIARIO REIT (BVMF:XPCI11)</v>
    <v>3</v>
    <v>4</v>
    <v>Finance</v>
    <v>5</v>
    <v>81.95</v>
    <v>62.64</v>
    <v>BVMF</v>
    <v>79.86</v>
    <v>79.22</v>
    <v>B3 - Brazil Stock Exchange</v>
    <v>79.069999999999993</v>
    <v>45810.566467082812</v>
    <v>33</v>
    <v>BRL</v>
    <v>XP CREDITO IMOBILIARIO REIT</v>
    <v>79.59</v>
    <v>79.349999999999994</v>
    <v>XPCI11</v>
    <v>Fundos mais negociados</v>
    <v>XP CREDITO IMOBILIARIO REIT (BVMF:XPCI11)</v>
    <v>0.28000000000000003</v>
    <v>3.5410000000000003E-3</v>
    <v>1848</v>
  </rv>
  <rv s="2">
    <v>34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</spbArrays>
  <spbData count="6">
    <spb s="0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1</v>
      <v>1</v>
      <v>6</v>
    </spb>
    <spb s="5">
      <v>Atraso de 30 minutos</v>
      <v xml:space="preserve">do fechamento anterior </v>
      <v xml:space="preserve">do fechamento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Preço" t="s"/>
    <k n="Variação" t="s"/>
    <k n="Variação (%)" t="s"/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4">
      <rpv i="0">#,##0</rpv>
    </rSty>
    <rSty dxfid="3"/>
    <rSty dxfid="0">
      <rpv i="0">0.00</rpv>
    </rSty>
    <rSty dxfid="2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3B2F5-FB81-4AF7-9E25-ED4D125342A5}" name="Tabela4" displayName="Tabela4" ref="D12:I21" totalsRowShown="0" headerRowDxfId="8" dataDxfId="7" tableBorderDxfId="6">
  <autoFilter ref="D12:I21" xr:uid="{0543B2F5-FB81-4AF7-9E25-ED4D125342A5}"/>
  <tableColumns count="6">
    <tableColumn id="1" xr3:uid="{BC980AD6-F20D-429F-8FB7-5228AA29A83B}" name="Nome do Fundo" dataDxfId="5"/>
    <tableColumn id="2" xr3:uid="{761E450A-D9C8-4472-862B-B2F18AC4850F}" name="Valor da Cota" dataDxfId="4" dataCellStyle="Moeda"/>
    <tableColumn id="5" xr3:uid="{BBF335A0-43C1-4FEB-B727-2AA0707B995D}" name="Quantidade de Cotas" dataDxfId="3"/>
    <tableColumn id="3" xr3:uid="{50133317-090B-465E-BF16-DA88978BAC14}" name="Valor Investido" dataDxfId="2" dataCellStyle="Moeda">
      <calculatedColumnFormula>Tabela4[[#This Row],[Valor da Cota]]*Tabela4[[#This Row],[Quantidade de Cotas]]</calculatedColumnFormula>
    </tableColumn>
    <tableColumn id="6" xr3:uid="{555CA397-7F15-4BBA-9F1E-37141CBBEB0D}" name="Dividend Yield (% a.m)" dataDxfId="1" dataCellStyle="Moeda"/>
    <tableColumn id="4" xr3:uid="{E6CBACC8-73EA-4FC4-80C7-83DD827DC9D0}" name="Valor do Dividendo" dataDxfId="0" dataCellStyle="Moeda">
      <calculatedColumnFormula>(Tabela4[[#This Row],[Valor da Cota]]*Tabela4[[#This Row],[Dividend Yield (% a.m)]])*Tabela4[[#This Row],[Quantidade de Cotas]]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2FF0-1630-46FC-8166-705E55E16699}" name="Fundos" displayName="Fundos" ref="C7:F22" totalsRowShown="0">
  <autoFilter ref="C7:F22" xr:uid="{361D2FF0-1630-46FC-8166-705E55E16699}"/>
  <tableColumns count="4">
    <tableColumn id="1" xr3:uid="{8EB19251-27F9-4B8D-A1A7-C1AA6AFE2D06}" name="Fundos" dataDxfId="11" dataCellStyle="Moeda">
      <calculatedColumnFormula array="1">_FV(D8,"Símbolo do ticker",TRUE)</calculatedColumnFormula>
    </tableColumn>
    <tableColumn id="2" xr3:uid="{1EF2E244-3B1C-4709-AE36-32BF8CD39144}" name="Nome"/>
    <tableColumn id="3" xr3:uid="{51B337B0-7620-4834-AE95-4A3322994935}" name="Valor" dataDxfId="10">
      <calculatedColumnFormula array="1">_FV(D8,"Preço")</calculatedColumnFormula>
    </tableColumn>
    <tableColumn id="4" xr3:uid="{9CFD60D9-D8F7-4EFB-8B05-64A4D5BC38A0}" name="Dividend Yield (a.m)" dataDxfId="9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hyperlink" Target="https://conteudos.xpi.com.br/fundos-imobiliarios/top-25-fundos-imobiliar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FF89-C1BF-4436-BD49-7A0BA02D9CC0}">
  <dimension ref="A1:K34"/>
  <sheetViews>
    <sheetView showGridLines="0" showRowColHeaders="0" zoomScaleNormal="100" workbookViewId="0">
      <selection activeCell="D16" sqref="D16"/>
    </sheetView>
  </sheetViews>
  <sheetFormatPr defaultRowHeight="14.5" x14ac:dyDescent="0.35"/>
  <cols>
    <col min="1" max="1" width="20.54296875" style="19" customWidth="1"/>
    <col min="2" max="2" width="5.54296875" customWidth="1"/>
    <col min="3" max="3" width="27.1796875" bestFit="1" customWidth="1"/>
    <col min="4" max="4" width="19.54296875" bestFit="1" customWidth="1"/>
    <col min="5" max="5" width="26.1796875" bestFit="1" customWidth="1"/>
    <col min="6" max="6" width="20.54296875" customWidth="1"/>
    <col min="7" max="7" width="18.1796875" hidden="1" customWidth="1"/>
    <col min="8" max="8" width="19.453125" hidden="1" customWidth="1"/>
    <col min="9" max="9" width="5.54296875" customWidth="1"/>
    <col min="10" max="10" width="30.1796875" customWidth="1"/>
    <col min="11" max="11" width="7.54296875" customWidth="1"/>
  </cols>
  <sheetData>
    <row r="1" spans="1:11" s="18" customFormat="1" x14ac:dyDescent="0.35"/>
    <row r="2" spans="1:11" s="18" customFormat="1" x14ac:dyDescent="0.35"/>
    <row r="3" spans="1:11" s="18" customFormat="1" x14ac:dyDescent="0.35"/>
    <row r="4" spans="1:11" s="18" customFormat="1" ht="15" thickBot="1" x14ac:dyDescent="0.4"/>
    <row r="5" spans="1:11" s="17" customFormat="1" ht="16.5" x14ac:dyDescent="0.45">
      <c r="A5" s="19"/>
      <c r="B5" s="14"/>
      <c r="C5" s="14"/>
      <c r="D5" s="14"/>
      <c r="E5" s="14"/>
      <c r="F5" s="14"/>
      <c r="G5" s="14"/>
      <c r="H5" s="14"/>
      <c r="J5" s="15">
        <f ca="1">NOW()</f>
        <v>45810.454557523146</v>
      </c>
      <c r="K5" s="16">
        <f ca="1">NOW()</f>
        <v>45810.454557523146</v>
      </c>
    </row>
    <row r="6" spans="1:11" ht="16.5" x14ac:dyDescent="0.45">
      <c r="B6" s="11"/>
      <c r="C6" s="11"/>
      <c r="D6" s="11"/>
      <c r="E6" s="11"/>
      <c r="F6" s="11"/>
      <c r="G6" s="11"/>
      <c r="H6" s="11"/>
      <c r="J6" s="13"/>
      <c r="K6" s="11"/>
    </row>
    <row r="7" spans="1:11" ht="16.5" x14ac:dyDescent="0.45">
      <c r="B7" s="11"/>
      <c r="C7" s="52" t="s">
        <v>0</v>
      </c>
      <c r="D7" s="53"/>
      <c r="E7" s="53"/>
      <c r="F7" s="54"/>
      <c r="G7" s="11"/>
      <c r="H7" s="11"/>
      <c r="I7" s="11"/>
      <c r="J7" s="11"/>
      <c r="K7" s="11"/>
    </row>
    <row r="8" spans="1:11" ht="16.5" x14ac:dyDescent="0.45">
      <c r="B8" s="11"/>
      <c r="C8" s="20" t="s">
        <v>1</v>
      </c>
      <c r="D8" s="21" t="s">
        <v>2</v>
      </c>
      <c r="E8" s="21" t="s">
        <v>3</v>
      </c>
      <c r="F8" s="22" t="s">
        <v>4</v>
      </c>
      <c r="G8" s="11"/>
      <c r="H8" s="11"/>
      <c r="I8" s="11"/>
      <c r="J8" s="11"/>
      <c r="K8" s="11"/>
    </row>
    <row r="9" spans="1:11" ht="16.5" x14ac:dyDescent="0.45">
      <c r="B9" s="11"/>
      <c r="C9" s="23" t="s">
        <v>5</v>
      </c>
      <c r="D9" s="24">
        <v>1</v>
      </c>
      <c r="E9" s="25">
        <f ca="1">_xlfn.XLOOKUP(C9,Fundos[Fundos],Fundos[Valor],"Valor não Encontrado",0)</f>
        <v>64.11</v>
      </c>
      <c r="F9" s="26">
        <f ca="1">_xlfn.XLOOKUP(C9,Fundos[Fundos],Fundos[Valor])*_xlfn.XLOOKUP(C9,Fundos[Fundos],Fundos[Dividend Yield (a.m)],"Valor não Encontrado",0)</f>
        <v>0.547072</v>
      </c>
      <c r="G9" s="11"/>
      <c r="H9" s="11"/>
      <c r="I9" s="11"/>
      <c r="J9" s="11"/>
      <c r="K9" s="11"/>
    </row>
    <row r="10" spans="1:11" ht="16.5" x14ac:dyDescent="0.45">
      <c r="B10" s="11"/>
      <c r="C10" s="23"/>
      <c r="D10" s="24">
        <v>10</v>
      </c>
      <c r="E10" s="27">
        <f ca="1">$E$9*D10</f>
        <v>641.1</v>
      </c>
      <c r="F10" s="26">
        <f ca="1">($E$9*_xlfn.XLOOKUP($C$9,Fundos[Fundos],Fundos[Dividend Yield (a.m)],"Valor não Encontrado",0))*D10</f>
        <v>5.47072</v>
      </c>
      <c r="G10" s="11"/>
      <c r="H10" s="11"/>
      <c r="I10" s="11"/>
      <c r="J10" s="11"/>
      <c r="K10" s="11"/>
    </row>
    <row r="11" spans="1:11" ht="16.5" x14ac:dyDescent="0.45">
      <c r="B11" s="11"/>
      <c r="C11" s="23"/>
      <c r="D11" s="24">
        <v>100</v>
      </c>
      <c r="E11" s="27">
        <f ca="1">$E$9*D11</f>
        <v>6411</v>
      </c>
      <c r="F11" s="26">
        <f ca="1">($E$9*_xlfn.XLOOKUP($C$9,Fundos[Fundos],Fundos[Dividend Yield (a.m)],"Valor não Encontrado",0))*D11</f>
        <v>54.7072</v>
      </c>
      <c r="G11" s="11"/>
      <c r="H11" s="11"/>
      <c r="I11" s="11"/>
      <c r="J11" s="11"/>
      <c r="K11" s="11"/>
    </row>
    <row r="12" spans="1:11" ht="16.5" x14ac:dyDescent="0.45">
      <c r="B12" s="11"/>
      <c r="C12" s="23"/>
      <c r="D12" s="24">
        <v>1000</v>
      </c>
      <c r="E12" s="27">
        <f ca="1">$E$9*D12</f>
        <v>64110</v>
      </c>
      <c r="F12" s="26">
        <f ca="1">($E$9*_xlfn.XLOOKUP($C$9,Fundos[Fundos],Fundos[Dividend Yield (a.m)],"Valor não Encontrado",0))*D12</f>
        <v>547.072</v>
      </c>
      <c r="G12" s="11"/>
      <c r="H12" s="11"/>
      <c r="I12" s="11"/>
      <c r="J12" s="11"/>
      <c r="K12" s="11"/>
    </row>
    <row r="13" spans="1:11" ht="16.5" x14ac:dyDescent="0.45">
      <c r="B13" s="11"/>
      <c r="C13" s="11"/>
      <c r="D13" s="11"/>
      <c r="E13" s="11"/>
      <c r="F13" s="11"/>
      <c r="G13" s="11" t="s">
        <v>6</v>
      </c>
      <c r="H13" s="11"/>
      <c r="I13" s="11"/>
      <c r="J13" s="11"/>
      <c r="K13" s="11"/>
    </row>
    <row r="14" spans="1:11" ht="16.5" x14ac:dyDescent="0.45">
      <c r="B14" s="11"/>
      <c r="C14" s="49" t="s">
        <v>7</v>
      </c>
      <c r="D14" s="50"/>
      <c r="E14" s="50"/>
      <c r="F14" s="51"/>
      <c r="G14" s="12" t="e">
        <f>_xlfn.XLOOKUP(C9,#REF!,#REF!)</f>
        <v>#REF!</v>
      </c>
      <c r="H14" s="11"/>
      <c r="I14" s="11"/>
      <c r="J14" s="11"/>
      <c r="K14" s="11"/>
    </row>
    <row r="15" spans="1:11" ht="16.5" x14ac:dyDescent="0.45">
      <c r="B15" s="11"/>
      <c r="C15" s="28" t="s">
        <v>1</v>
      </c>
      <c r="D15" s="29" t="s">
        <v>2</v>
      </c>
      <c r="E15" s="29" t="s">
        <v>3</v>
      </c>
      <c r="F15" s="30" t="s">
        <v>4</v>
      </c>
      <c r="G15" s="11"/>
      <c r="H15" s="11"/>
      <c r="I15" s="11"/>
      <c r="J15" s="11"/>
      <c r="K15" s="11"/>
    </row>
    <row r="16" spans="1:11" ht="16.5" x14ac:dyDescent="0.45">
      <c r="B16" s="11"/>
      <c r="C16" s="31" t="s">
        <v>5</v>
      </c>
      <c r="D16" s="32">
        <v>101</v>
      </c>
      <c r="E16" s="33">
        <f ca="1">_xlfn.XLOOKUP(C16,Fundos[Fundos],Fundos[Valor],"Valor não Encontrado",0)*D16</f>
        <v>6475.11</v>
      </c>
      <c r="F16" s="34">
        <f ca="1">IF($D$16=1,_xlfn.XLOOKUP(C16,Fundos[Fundos],Fundos[Valor])*_xlfn.XLOOKUP(C16,Fundos[Fundos],Fundos[Dividend Yield (a.m)]),_xlfn.XLOOKUP(C16,Fundos[Fundos],Fundos[Valor])*_xlfn.XLOOKUP(C16,Fundos[Fundos],Fundos[Dividend Yield (a.m)])*D16)</f>
        <v>55.254272</v>
      </c>
      <c r="G16" s="11"/>
      <c r="H16" s="11"/>
      <c r="I16" s="11"/>
      <c r="J16" s="11"/>
      <c r="K16" s="11"/>
    </row>
    <row r="17" spans="2:11" ht="16.5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ht="16.5" x14ac:dyDescent="0.4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 ht="16.5" customHeight="1" x14ac:dyDescent="0.45">
      <c r="B19" s="11"/>
      <c r="D19" s="11"/>
      <c r="E19" s="11"/>
      <c r="F19" s="11"/>
      <c r="G19" s="11"/>
      <c r="H19" s="11"/>
      <c r="I19" s="11"/>
      <c r="J19" s="11"/>
      <c r="K19" s="11"/>
    </row>
    <row r="20" spans="2:11" ht="16.5" x14ac:dyDescent="0.45">
      <c r="C20" s="11" t="s">
        <v>8</v>
      </c>
      <c r="G20" t="s">
        <v>6</v>
      </c>
      <c r="H20" t="s">
        <v>9</v>
      </c>
    </row>
    <row r="21" spans="2:11" ht="16.5" x14ac:dyDescent="0.45">
      <c r="C21" s="11" t="s">
        <v>10</v>
      </c>
      <c r="G21" s="3" t="e">
        <f>_xlfn.XLOOKUP(C16,#REF!,#REF!)</f>
        <v>#REF!</v>
      </c>
      <c r="H21" s="4" t="e">
        <f>_xlfn.XLOOKUP(C16,#REF!,#REF!,"Valor não Encontrado",0)</f>
        <v>#REF!</v>
      </c>
    </row>
    <row r="25" spans="2:11" x14ac:dyDescent="0.35">
      <c r="G25" s="7" t="s">
        <v>6</v>
      </c>
      <c r="H25" s="8" t="s">
        <v>9</v>
      </c>
    </row>
    <row r="26" spans="2:11" x14ac:dyDescent="0.35">
      <c r="G26" s="9" t="e">
        <f>_xlfn.XLOOKUP('Simule uma Compra'!D13,#REF!,#REF!,"",0)</f>
        <v>#REF!</v>
      </c>
      <c r="H26" s="10" t="e">
        <f>_xlfn.XLOOKUP('Simule uma Compra'!D13,#REF!,#REF!,"Valor não Encontrado",0)</f>
        <v>#REF!</v>
      </c>
    </row>
    <row r="27" spans="2:11" x14ac:dyDescent="0.35">
      <c r="G27" s="9" t="e">
        <f>_xlfn.XLOOKUP('Simule uma Compra'!D14,#REF!,#REF!,"",0)</f>
        <v>#REF!</v>
      </c>
      <c r="H27" s="10" t="e">
        <f>_xlfn.XLOOKUP('Simule uma Compra'!D14,#REF!,#REF!,"Valor não Encontrado",0)</f>
        <v>#REF!</v>
      </c>
    </row>
    <row r="28" spans="2:11" x14ac:dyDescent="0.35">
      <c r="G28" s="9" t="e">
        <f>_xlfn.XLOOKUP('Simule uma Compra'!D15,#REF!,#REF!,"",0)</f>
        <v>#REF!</v>
      </c>
      <c r="H28" s="10" t="e">
        <f>_xlfn.XLOOKUP('Simule uma Compra'!D15,#REF!,#REF!,"Valor não Encontrado",0)</f>
        <v>#REF!</v>
      </c>
    </row>
    <row r="29" spans="2:11" x14ac:dyDescent="0.35">
      <c r="G29" s="9" t="e">
        <f>_xlfn.XLOOKUP('Simule uma Compra'!D16,#REF!,#REF!,"",0)</f>
        <v>#REF!</v>
      </c>
      <c r="H29" s="10" t="e">
        <f>_xlfn.XLOOKUP('Simule uma Compra'!D16,#REF!,#REF!,"Valor não Encontrado",0)</f>
        <v>#REF!</v>
      </c>
    </row>
    <row r="30" spans="2:11" x14ac:dyDescent="0.35">
      <c r="G30" s="9" t="e">
        <f>_xlfn.XLOOKUP('Simule uma Compra'!D17,#REF!,#REF!,"",0)</f>
        <v>#REF!</v>
      </c>
      <c r="H30" s="10" t="e">
        <f>_xlfn.XLOOKUP('Simule uma Compra'!D17,#REF!,#REF!,"Valor não Encontrado",0)</f>
        <v>#REF!</v>
      </c>
    </row>
    <row r="31" spans="2:11" x14ac:dyDescent="0.35">
      <c r="G31" s="9" t="e">
        <f>_xlfn.XLOOKUP('Simule uma Compra'!D18,#REF!,#REF!,"",0)</f>
        <v>#REF!</v>
      </c>
      <c r="H31" s="10" t="e">
        <f>_xlfn.XLOOKUP('Simule uma Compra'!D18,#REF!,#REF!,"Valor não Encontrado",0)</f>
        <v>#REF!</v>
      </c>
    </row>
    <row r="32" spans="2:11" x14ac:dyDescent="0.35">
      <c r="G32" s="9" t="e">
        <f>_xlfn.XLOOKUP('Simule uma Compra'!D19,#REF!,#REF!,"",0)</f>
        <v>#REF!</v>
      </c>
      <c r="H32" s="10" t="e">
        <f>_xlfn.XLOOKUP('Simule uma Compra'!D19,#REF!,#REF!,"Valor não Encontrado",0)</f>
        <v>#REF!</v>
      </c>
    </row>
    <row r="33" spans="7:8" x14ac:dyDescent="0.35">
      <c r="G33" s="9" t="e">
        <f>_xlfn.XLOOKUP('Simule uma Compra'!D20,#REF!,#REF!,"",0)</f>
        <v>#REF!</v>
      </c>
      <c r="H33" s="10" t="e">
        <f>_xlfn.XLOOKUP('Simule uma Compra'!D20,#REF!,#REF!,"Valor não Encontrado",0)</f>
        <v>#REF!</v>
      </c>
    </row>
    <row r="34" spans="7:8" x14ac:dyDescent="0.35">
      <c r="G34" s="9" t="e">
        <f>_xlfn.XLOOKUP('Simule uma Compra'!D21,#REF!,#REF!,"",0)</f>
        <v>#REF!</v>
      </c>
      <c r="H34" s="10" t="e">
        <f>_xlfn.XLOOKUP('Simule uma Compra'!D21,#REF!,#REF!,"Valor não Encontrado",0)</f>
        <v>#REF!</v>
      </c>
    </row>
  </sheetData>
  <sheetProtection sheet="1" objects="1" scenarios="1"/>
  <protectedRanges>
    <protectedRange sqref="D16" name="Intervalo1"/>
  </protectedRanges>
  <mergeCells count="2">
    <mergeCell ref="C14:F14"/>
    <mergeCell ref="C7:F7"/>
  </mergeCells>
  <dataValidations count="1">
    <dataValidation type="whole" allowBlank="1" showInputMessage="1" showErrorMessage="1" errorTitle="Digite um número válido" error="Digite um número inteiro de 1 a 1.000.000." promptTitle="Digite um Número Inteiro" prompt="Digite um Número Inteiro entre 1 e 1.000.000." sqref="D16" xr:uid="{77FE3DAA-F02E-409D-96BD-FE345BC7399F}">
      <formula1>1</formula1>
      <formula2>1000000</formula2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xr:uid="{88FF9221-489C-4812-99BA-E8894AE4568F}">
          <x14:formula1>
            <xm:f>'Fundos de Investimento '!$C$8:$C$22</xm:f>
          </x14:formula1>
          <xm:sqref>C16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24B8-5507-4744-A3CF-67AD1152228F}">
  <dimension ref="A1:Y81"/>
  <sheetViews>
    <sheetView showGridLines="0" showRowColHeaders="0" tabSelected="1" zoomScale="90" zoomScaleNormal="90" workbookViewId="0">
      <selection activeCell="I19" sqref="I19"/>
    </sheetView>
  </sheetViews>
  <sheetFormatPr defaultRowHeight="14.5" x14ac:dyDescent="0.35"/>
  <cols>
    <col min="1" max="1" width="20.54296875" style="19" customWidth="1"/>
    <col min="2" max="3" width="3.453125" customWidth="1"/>
    <col min="4" max="4" width="22.453125" bestFit="1" customWidth="1"/>
    <col min="5" max="5" width="16.1796875" bestFit="1" customWidth="1"/>
    <col min="6" max="6" width="24.54296875" customWidth="1"/>
    <col min="7" max="7" width="21" bestFit="1" customWidth="1"/>
    <col min="8" max="8" width="27.453125" bestFit="1" customWidth="1"/>
    <col min="9" max="9" width="22.81640625" bestFit="1" customWidth="1"/>
    <col min="10" max="10" width="14.7265625" bestFit="1" customWidth="1"/>
    <col min="14" max="14" width="6.54296875" customWidth="1"/>
  </cols>
  <sheetData>
    <row r="1" spans="2:16" s="18" customFormat="1" x14ac:dyDescent="0.35"/>
    <row r="2" spans="2:16" s="18" customFormat="1" x14ac:dyDescent="0.35"/>
    <row r="3" spans="2:16" s="18" customFormat="1" x14ac:dyDescent="0.35"/>
    <row r="4" spans="2:16" s="18" customFormat="1" x14ac:dyDescent="0.35"/>
    <row r="5" spans="2:16" ht="16.5" x14ac:dyDescent="0.4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ht="16.5" x14ac:dyDescent="0.45">
      <c r="B6" s="11"/>
      <c r="J6" s="11"/>
      <c r="K6" s="11"/>
      <c r="L6" s="11"/>
      <c r="M6" s="11"/>
      <c r="N6" s="11"/>
      <c r="O6" s="11"/>
      <c r="P6" s="11"/>
    </row>
    <row r="7" spans="2:16" ht="16.5" x14ac:dyDescent="0.45">
      <c r="B7" s="11"/>
      <c r="G7" s="38" t="s">
        <v>2</v>
      </c>
      <c r="H7" s="39" t="s">
        <v>11</v>
      </c>
      <c r="I7" s="40" t="s">
        <v>12</v>
      </c>
      <c r="K7" s="11"/>
      <c r="L7" s="11"/>
      <c r="M7" s="11"/>
      <c r="N7" s="11"/>
      <c r="O7" s="11"/>
      <c r="P7" s="11"/>
    </row>
    <row r="8" spans="2:16" ht="16.5" customHeight="1" x14ac:dyDescent="0.45">
      <c r="B8" s="11"/>
      <c r="G8" s="55">
        <f>SUM('Simule uma Compra'!$F$13:$F$21)</f>
        <v>3</v>
      </c>
      <c r="H8" s="58">
        <f>SUM('Simule uma Compra'!$G$13:$G$21)</f>
        <v>481.86</v>
      </c>
      <c r="I8" s="57">
        <f>SUM('Simule uma Compra'!$I$13:$I$21)</f>
        <v>4.4712899999999998</v>
      </c>
      <c r="K8" s="11"/>
      <c r="L8" s="11"/>
      <c r="M8" s="11"/>
      <c r="N8" s="11"/>
      <c r="O8" s="11"/>
      <c r="P8" s="11"/>
    </row>
    <row r="9" spans="2:16" ht="16.5" customHeight="1" x14ac:dyDescent="0.45">
      <c r="B9" s="11"/>
      <c r="G9" s="56"/>
      <c r="H9" s="58"/>
      <c r="I9" s="57"/>
      <c r="K9" s="11"/>
      <c r="L9" s="11"/>
      <c r="M9" s="11"/>
      <c r="N9" s="11"/>
      <c r="O9" s="11"/>
      <c r="P9" s="11"/>
    </row>
    <row r="10" spans="2:16" ht="16.5" x14ac:dyDescent="0.45">
      <c r="B10" s="11"/>
      <c r="J10" s="11" t="str">
        <f>IFERROR(_xlfn.XLOOKUP(D15,#REF!,#REF!),"")</f>
        <v/>
      </c>
      <c r="K10" s="11"/>
      <c r="L10" s="11"/>
      <c r="M10" s="11"/>
      <c r="N10" s="11"/>
      <c r="O10" s="11"/>
      <c r="P10" s="11"/>
    </row>
    <row r="11" spans="2:16" ht="16.5" x14ac:dyDescent="0.45">
      <c r="B11" s="11"/>
      <c r="D11" s="59" t="s">
        <v>13</v>
      </c>
      <c r="E11" s="60"/>
      <c r="F11" s="60"/>
      <c r="G11" s="60"/>
      <c r="H11" s="60"/>
      <c r="I11" s="61"/>
      <c r="J11" s="11" t="str">
        <f>IFERROR(_xlfn.XLOOKUP(D16,#REF!,#REF!),"")</f>
        <v/>
      </c>
      <c r="K11" s="11"/>
      <c r="L11" s="35"/>
      <c r="M11" s="11"/>
      <c r="N11" s="11"/>
      <c r="O11" s="11"/>
      <c r="P11" s="11"/>
    </row>
    <row r="12" spans="2:16" ht="16.5" x14ac:dyDescent="0.45">
      <c r="B12" s="11"/>
      <c r="D12" s="62" t="s">
        <v>1</v>
      </c>
      <c r="E12" s="63" t="s">
        <v>14</v>
      </c>
      <c r="F12" s="62" t="s">
        <v>2</v>
      </c>
      <c r="G12" s="62" t="s">
        <v>3</v>
      </c>
      <c r="H12" s="62" t="s">
        <v>15</v>
      </c>
      <c r="I12" s="62" t="s">
        <v>16</v>
      </c>
      <c r="J12" s="11" t="str">
        <f>IFERROR(_xlfn.XLOOKUP(D17,#REF!,#REF!),"")</f>
        <v/>
      </c>
      <c r="K12" s="11"/>
      <c r="L12" s="36"/>
      <c r="M12" s="11"/>
      <c r="N12" s="11"/>
      <c r="O12" s="11"/>
      <c r="P12" s="11"/>
    </row>
    <row r="13" spans="2:16" ht="16.5" x14ac:dyDescent="0.45">
      <c r="B13" s="11"/>
      <c r="D13" s="64" t="s">
        <v>17</v>
      </c>
      <c r="E13" s="65">
        <v>11.12</v>
      </c>
      <c r="F13" s="66">
        <v>1</v>
      </c>
      <c r="G13" s="65">
        <f>Tabela4[[#This Row],[Valor da Cota]]*Tabela4[[#This Row],[Quantidade de Cotas]]</f>
        <v>11.12</v>
      </c>
      <c r="H13" s="67">
        <v>8.3999999999999995E-3</v>
      </c>
      <c r="I13" s="65">
        <f>(Tabela4[[#This Row],[Valor da Cota]]*Tabela4[[#This Row],[Dividend Yield (% a.m)]])*Tabela4[[#This Row],[Quantidade de Cotas]]</f>
        <v>9.3407999999999991E-2</v>
      </c>
      <c r="J13" s="11" t="str">
        <f>IFERROR(_xlfn.XLOOKUP(D18,#REF!,#REF!),"")</f>
        <v/>
      </c>
      <c r="K13" s="11"/>
      <c r="L13" s="37"/>
      <c r="M13" s="11"/>
      <c r="N13" s="11"/>
      <c r="O13" s="11"/>
      <c r="P13" s="11"/>
    </row>
    <row r="14" spans="2:16" ht="16.5" x14ac:dyDescent="0.45">
      <c r="B14" s="11"/>
      <c r="D14" s="64" t="s">
        <v>18</v>
      </c>
      <c r="E14" s="65">
        <v>235.37</v>
      </c>
      <c r="F14" s="66">
        <v>2</v>
      </c>
      <c r="G14" s="65">
        <f>Tabela4[[#This Row],[Valor da Cota]]*Tabela4[[#This Row],[Quantidade de Cotas]]</f>
        <v>470.74</v>
      </c>
      <c r="H14" s="67">
        <v>9.2999999999999992E-3</v>
      </c>
      <c r="I14" s="65">
        <f>(Tabela4[[#This Row],[Valor da Cota]]*Tabela4[[#This Row],[Dividend Yield (% a.m)]])*Tabela4[[#This Row],[Quantidade de Cotas]]</f>
        <v>4.3778819999999996</v>
      </c>
      <c r="J14" s="11" t="str">
        <f>IFERROR(_xlfn.XLOOKUP(D19,#REF!,#REF!),"")</f>
        <v/>
      </c>
      <c r="K14" s="11"/>
      <c r="L14" s="11"/>
      <c r="M14" s="11"/>
      <c r="N14" s="11"/>
      <c r="O14" s="11"/>
      <c r="P14" s="11"/>
    </row>
    <row r="15" spans="2:16" ht="16.5" x14ac:dyDescent="0.45">
      <c r="B15" s="11"/>
      <c r="D15" s="64"/>
      <c r="E15" s="65"/>
      <c r="F15" s="66"/>
      <c r="G15" s="65">
        <f>Tabela4[[#This Row],[Valor da Cota]]*Tabela4[[#This Row],[Quantidade de Cotas]]</f>
        <v>0</v>
      </c>
      <c r="H15" s="67"/>
      <c r="I15" s="65">
        <f>(Tabela4[[#This Row],[Valor da Cota]]*Tabela4[[#This Row],[Dividend Yield (% a.m)]])*Tabela4[[#This Row],[Quantidade de Cotas]]</f>
        <v>0</v>
      </c>
      <c r="J15" s="11" t="str">
        <f>IFERROR(_xlfn.XLOOKUP(D20,#REF!,#REF!),"")</f>
        <v/>
      </c>
      <c r="K15" s="11"/>
      <c r="L15" s="11"/>
      <c r="M15" s="11"/>
      <c r="N15" s="11"/>
      <c r="O15" s="11"/>
      <c r="P15" s="11"/>
    </row>
    <row r="16" spans="2:16" ht="16.5" x14ac:dyDescent="0.45">
      <c r="B16" s="11"/>
      <c r="D16" s="64"/>
      <c r="E16" s="65"/>
      <c r="F16" s="66"/>
      <c r="G16" s="65">
        <f>Tabela4[[#This Row],[Valor da Cota]]*Tabela4[[#This Row],[Quantidade de Cotas]]</f>
        <v>0</v>
      </c>
      <c r="H16" s="67"/>
      <c r="I16" s="65">
        <f>(Tabela4[[#This Row],[Valor da Cota]]*Tabela4[[#This Row],[Dividend Yield (% a.m)]])*Tabela4[[#This Row],[Quantidade de Cotas]]</f>
        <v>0</v>
      </c>
      <c r="J16" s="11" t="str">
        <f>IFERROR(_xlfn.XLOOKUP(D21,#REF!,#REF!),"")</f>
        <v/>
      </c>
      <c r="K16" s="11"/>
      <c r="L16" s="11"/>
      <c r="M16" s="11"/>
      <c r="N16" s="11"/>
      <c r="O16" s="11"/>
      <c r="P16" s="11"/>
    </row>
    <row r="17" spans="2:25" ht="16.5" x14ac:dyDescent="0.45">
      <c r="B17" s="11"/>
      <c r="C17" s="11"/>
      <c r="D17" s="64"/>
      <c r="E17" s="65"/>
      <c r="F17" s="66"/>
      <c r="G17" s="65">
        <f>Tabela4[[#This Row],[Valor da Cota]]*Tabela4[[#This Row],[Quantidade de Cotas]]</f>
        <v>0</v>
      </c>
      <c r="H17" s="67"/>
      <c r="I17" s="65">
        <f>(Tabela4[[#This Row],[Valor da Cota]]*Tabela4[[#This Row],[Dividend Yield (% a.m)]])*Tabela4[[#This Row],[Quantidade de Cotas]]</f>
        <v>0</v>
      </c>
      <c r="J17" s="11"/>
      <c r="K17" s="11"/>
      <c r="L17" s="11"/>
      <c r="M17" s="11"/>
      <c r="N17" s="11"/>
      <c r="O17" s="11"/>
      <c r="P17" s="11"/>
    </row>
    <row r="18" spans="2:25" ht="16.5" x14ac:dyDescent="0.45">
      <c r="B18" s="11"/>
      <c r="C18" s="11"/>
      <c r="D18" s="64"/>
      <c r="E18" s="65"/>
      <c r="F18" s="66"/>
      <c r="G18" s="65">
        <f>Tabela4[[#This Row],[Valor da Cota]]*Tabela4[[#This Row],[Quantidade de Cotas]]</f>
        <v>0</v>
      </c>
      <c r="H18" s="67"/>
      <c r="I18" s="65">
        <f>(Tabela4[[#This Row],[Valor da Cota]]*Tabela4[[#This Row],[Dividend Yield (% a.m)]])*Tabela4[[#This Row],[Quantidade de Cotas]]</f>
        <v>0</v>
      </c>
      <c r="J18" s="11"/>
      <c r="K18" s="11"/>
      <c r="L18" s="11"/>
      <c r="M18" s="11"/>
      <c r="N18" s="11"/>
      <c r="O18" s="11"/>
      <c r="P18" s="11"/>
    </row>
    <row r="19" spans="2:25" ht="16.5" x14ac:dyDescent="0.45">
      <c r="B19" s="11"/>
      <c r="C19" s="11"/>
      <c r="D19" s="64"/>
      <c r="E19" s="65"/>
      <c r="F19" s="66"/>
      <c r="G19" s="65">
        <f>Tabela4[[#This Row],[Valor da Cota]]*Tabela4[[#This Row],[Quantidade de Cotas]]</f>
        <v>0</v>
      </c>
      <c r="H19" s="67"/>
      <c r="I19" s="65">
        <f>(Tabela4[[#This Row],[Valor da Cota]]*Tabela4[[#This Row],[Dividend Yield (% a.m)]])*Tabela4[[#This Row],[Quantidade de Cotas]]</f>
        <v>0</v>
      </c>
      <c r="J19" s="11"/>
      <c r="K19" s="11"/>
      <c r="L19" s="11"/>
      <c r="M19" s="11"/>
      <c r="N19" s="11"/>
      <c r="O19" s="11"/>
      <c r="P19" s="11"/>
    </row>
    <row r="20" spans="2:25" ht="16.5" x14ac:dyDescent="0.45">
      <c r="B20" s="11"/>
      <c r="C20" s="11"/>
      <c r="D20" s="64"/>
      <c r="E20" s="65"/>
      <c r="F20" s="66"/>
      <c r="G20" s="65">
        <f>Tabela4[[#This Row],[Valor da Cota]]*Tabela4[[#This Row],[Quantidade de Cotas]]</f>
        <v>0</v>
      </c>
      <c r="H20" s="67"/>
      <c r="I20" s="65">
        <f>(Tabela4[[#This Row],[Valor da Cota]]*Tabela4[[#This Row],[Dividend Yield (% a.m)]])*Tabela4[[#This Row],[Quantidade de Cotas]]</f>
        <v>0</v>
      </c>
      <c r="J20" s="11"/>
      <c r="K20" s="11"/>
      <c r="L20" s="11"/>
      <c r="M20" s="11"/>
      <c r="N20" s="11"/>
      <c r="O20" s="11"/>
      <c r="P20" s="11"/>
    </row>
    <row r="21" spans="2:25" ht="16.5" x14ac:dyDescent="0.45">
      <c r="B21" s="11"/>
      <c r="C21" s="11"/>
      <c r="D21" s="64"/>
      <c r="E21" s="65"/>
      <c r="F21" s="66"/>
      <c r="G21" s="65">
        <f>Tabela4[[#This Row],[Valor da Cota]]*Tabela4[[#This Row],[Quantidade de Cotas]]</f>
        <v>0</v>
      </c>
      <c r="H21" s="67"/>
      <c r="I21" s="65">
        <f>(Tabela4[[#This Row],[Valor da Cota]]*Tabela4[[#This Row],[Dividend Yield (% a.m)]])*Tabela4[[#This Row],[Quantidade de Cotas]]</f>
        <v>0</v>
      </c>
      <c r="J21" s="11"/>
      <c r="K21" s="11"/>
      <c r="L21" s="11"/>
      <c r="M21" s="11"/>
      <c r="N21" s="11"/>
      <c r="O21" s="11"/>
      <c r="P21" s="11"/>
    </row>
    <row r="22" spans="2:25" ht="16.5" x14ac:dyDescent="0.45">
      <c r="B22" s="11"/>
      <c r="C22" s="11"/>
      <c r="D22" s="69"/>
      <c r="E22" s="69"/>
      <c r="F22" s="69"/>
      <c r="G22" s="69"/>
      <c r="H22" s="69"/>
      <c r="I22" s="69"/>
      <c r="J22" s="70"/>
      <c r="K22" s="11"/>
      <c r="L22" s="11"/>
      <c r="M22" s="11"/>
      <c r="N22" s="11"/>
      <c r="O22" s="11"/>
      <c r="P22" s="11"/>
    </row>
    <row r="23" spans="2:25" ht="16.5" x14ac:dyDescent="0.45">
      <c r="B23" s="11"/>
      <c r="C23" s="11"/>
      <c r="D23" s="69"/>
      <c r="E23" s="70"/>
      <c r="F23" s="70"/>
      <c r="G23" s="70"/>
      <c r="H23" s="70"/>
      <c r="I23" s="70"/>
      <c r="J23" s="70"/>
      <c r="K23" s="11"/>
      <c r="L23" s="11"/>
      <c r="M23" s="11"/>
      <c r="N23" s="11"/>
      <c r="O23" s="11"/>
      <c r="P23" s="11"/>
    </row>
    <row r="24" spans="2:25" ht="16.5" x14ac:dyDescent="0.45">
      <c r="B24" s="68"/>
      <c r="C24" s="68"/>
      <c r="D24" s="70" t="s">
        <v>19</v>
      </c>
      <c r="E24" s="69"/>
      <c r="F24" s="69"/>
      <c r="G24" s="69"/>
      <c r="H24" s="69"/>
      <c r="I24" s="69"/>
      <c r="J24" s="69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2:25" x14ac:dyDescent="0.35">
      <c r="B25" s="68"/>
      <c r="C25" s="68"/>
      <c r="D25" s="69"/>
      <c r="E25" s="69"/>
      <c r="F25" s="69"/>
      <c r="G25" s="69"/>
      <c r="H25" s="69"/>
      <c r="I25" s="69"/>
      <c r="J25" s="69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2:25" x14ac:dyDescent="0.35">
      <c r="B26" s="68"/>
      <c r="C26" s="68"/>
      <c r="D26" s="69"/>
      <c r="E26" s="69"/>
      <c r="F26" s="69"/>
      <c r="G26" s="69"/>
      <c r="H26" s="69"/>
      <c r="I26" s="69"/>
      <c r="J26" s="69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2:25" x14ac:dyDescent="0.35">
      <c r="B27" s="68"/>
      <c r="C27" s="68"/>
      <c r="D27" s="69"/>
      <c r="E27" s="69"/>
      <c r="F27" s="69"/>
      <c r="G27" s="69"/>
      <c r="H27" s="69"/>
      <c r="I27" s="69"/>
      <c r="J27" s="69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</row>
    <row r="28" spans="2:25" x14ac:dyDescent="0.35">
      <c r="B28" s="68"/>
      <c r="C28" s="68"/>
      <c r="D28" s="69"/>
      <c r="E28" s="69"/>
      <c r="F28" s="69"/>
      <c r="G28" s="69"/>
      <c r="H28" s="69"/>
      <c r="I28" s="69"/>
      <c r="J28" s="69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2:25" x14ac:dyDescent="0.35">
      <c r="B29" s="68"/>
      <c r="C29" s="68"/>
      <c r="D29" s="69"/>
      <c r="E29" s="69"/>
      <c r="F29" s="69"/>
      <c r="G29" s="69"/>
      <c r="H29" s="69"/>
      <c r="I29" s="69"/>
      <c r="J29" s="69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2:25" x14ac:dyDescent="0.35">
      <c r="B30" s="68"/>
      <c r="C30" s="68"/>
      <c r="D30" s="69"/>
      <c r="E30" s="69"/>
      <c r="F30" s="69"/>
      <c r="G30" s="69"/>
      <c r="H30" s="69"/>
      <c r="I30" s="69"/>
      <c r="J30" s="69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2:25" x14ac:dyDescent="0.35">
      <c r="B31" s="68"/>
      <c r="C31" s="68"/>
      <c r="D31" s="69"/>
      <c r="E31" s="69"/>
      <c r="F31" s="69"/>
      <c r="G31" s="69"/>
      <c r="H31" s="69"/>
      <c r="I31" s="69"/>
      <c r="J31" s="69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2:25" x14ac:dyDescent="0.35">
      <c r="B32" s="68"/>
      <c r="C32" s="68"/>
      <c r="D32" s="69"/>
      <c r="E32" s="69"/>
      <c r="F32" s="69"/>
      <c r="G32" s="69"/>
      <c r="H32" s="69"/>
      <c r="I32" s="69"/>
      <c r="J32" s="69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2:25" x14ac:dyDescent="0.35">
      <c r="B33" s="68"/>
      <c r="C33" s="68"/>
      <c r="D33" s="69"/>
      <c r="E33" s="69"/>
      <c r="F33" s="69"/>
      <c r="G33" s="69"/>
      <c r="H33" s="69"/>
      <c r="I33" s="69"/>
      <c r="J33" s="69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2:25" x14ac:dyDescent="0.35">
      <c r="B34" s="68"/>
      <c r="C34" s="68"/>
      <c r="D34" s="69"/>
      <c r="E34" s="69"/>
      <c r="F34" s="69"/>
      <c r="G34" s="69"/>
      <c r="H34" s="69"/>
      <c r="I34" s="69"/>
      <c r="J34" s="69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5" spans="2:25" x14ac:dyDescent="0.35">
      <c r="B35" s="68"/>
      <c r="C35" s="68"/>
      <c r="D35" s="69"/>
      <c r="E35" s="69"/>
      <c r="F35" s="69"/>
      <c r="G35" s="69"/>
      <c r="H35" s="69"/>
      <c r="I35" s="69"/>
      <c r="J35" s="69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2:25" x14ac:dyDescent="0.35">
      <c r="B36" s="68"/>
      <c r="C36" s="68"/>
      <c r="D36" s="69"/>
      <c r="E36" s="69"/>
      <c r="F36" s="69"/>
      <c r="G36" s="69"/>
      <c r="H36" s="69"/>
      <c r="I36" s="69"/>
      <c r="J36" s="69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</row>
    <row r="37" spans="2:25" x14ac:dyDescent="0.35">
      <c r="B37" s="68"/>
      <c r="C37" s="68"/>
      <c r="D37" s="69"/>
      <c r="E37" s="69"/>
      <c r="F37" s="69"/>
      <c r="G37" s="69"/>
      <c r="H37" s="69"/>
      <c r="I37" s="69"/>
      <c r="J37" s="69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</row>
    <row r="38" spans="2:25" x14ac:dyDescent="0.35">
      <c r="B38" s="68"/>
      <c r="C38" s="68"/>
      <c r="D38" s="69"/>
      <c r="E38" s="69"/>
      <c r="F38" s="69"/>
      <c r="G38" s="69"/>
      <c r="H38" s="69"/>
      <c r="I38" s="69"/>
      <c r="J38" s="69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</row>
    <row r="39" spans="2:25" x14ac:dyDescent="0.35">
      <c r="B39" s="68"/>
      <c r="C39" s="68"/>
      <c r="D39" s="69"/>
      <c r="E39" s="69"/>
      <c r="F39" s="69"/>
      <c r="G39" s="69"/>
      <c r="H39" s="69"/>
      <c r="I39" s="69"/>
      <c r="J39" s="69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  <row r="40" spans="2:25" x14ac:dyDescent="0.35">
      <c r="B40" s="68"/>
      <c r="C40" s="68"/>
      <c r="D40" s="69"/>
      <c r="E40" s="69"/>
      <c r="F40" s="69"/>
      <c r="G40" s="69"/>
      <c r="H40" s="69"/>
      <c r="I40" s="69"/>
      <c r="J40" s="69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</row>
    <row r="41" spans="2:25" x14ac:dyDescent="0.35">
      <c r="B41" s="68"/>
      <c r="C41" s="68"/>
      <c r="D41" s="69"/>
      <c r="E41" s="69"/>
      <c r="F41" s="69"/>
      <c r="G41" s="69"/>
      <c r="H41" s="69"/>
      <c r="I41" s="69"/>
      <c r="J41" s="69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2:25" x14ac:dyDescent="0.35">
      <c r="B42" s="68"/>
      <c r="C42" s="68"/>
      <c r="D42" s="69"/>
      <c r="E42" s="69"/>
      <c r="F42" s="69"/>
      <c r="G42" s="69"/>
      <c r="H42" s="69"/>
      <c r="I42" s="69"/>
      <c r="J42" s="69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2:25" x14ac:dyDescent="0.35">
      <c r="B43" s="68"/>
      <c r="C43" s="68"/>
      <c r="D43" s="69"/>
      <c r="E43" s="69"/>
      <c r="F43" s="69"/>
      <c r="G43" s="69"/>
      <c r="H43" s="69"/>
      <c r="I43" s="69"/>
      <c r="J43" s="69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</row>
    <row r="44" spans="2:25" x14ac:dyDescent="0.35">
      <c r="B44" s="68"/>
      <c r="C44" s="68"/>
      <c r="D44" s="69"/>
      <c r="E44" s="69"/>
      <c r="F44" s="69"/>
      <c r="G44" s="69"/>
      <c r="H44" s="69"/>
      <c r="I44" s="69"/>
      <c r="J44" s="69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2:25" x14ac:dyDescent="0.35">
      <c r="B45" s="68"/>
      <c r="C45" s="68"/>
      <c r="D45" s="69"/>
      <c r="E45" s="69"/>
      <c r="F45" s="69"/>
      <c r="G45" s="69"/>
      <c r="H45" s="69"/>
      <c r="I45" s="69"/>
      <c r="J45" s="69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2:25" x14ac:dyDescent="0.35">
      <c r="B46" s="68"/>
      <c r="C46" s="68"/>
      <c r="D46" s="69"/>
      <c r="E46" s="69"/>
      <c r="F46" s="69"/>
      <c r="G46" s="69"/>
      <c r="H46" s="69"/>
      <c r="I46" s="69"/>
      <c r="J46" s="69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</row>
    <row r="47" spans="2:25" x14ac:dyDescent="0.35">
      <c r="B47" s="68"/>
      <c r="C47" s="68"/>
      <c r="D47" s="69"/>
      <c r="E47" s="69"/>
      <c r="F47" s="69"/>
      <c r="G47" s="69"/>
      <c r="H47" s="69"/>
      <c r="I47" s="69"/>
      <c r="J47" s="69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</row>
    <row r="48" spans="2:25" x14ac:dyDescent="0.35">
      <c r="B48" s="68"/>
      <c r="C48" s="68"/>
      <c r="D48" s="69"/>
      <c r="E48" s="69"/>
      <c r="F48" s="69"/>
      <c r="G48" s="69"/>
      <c r="H48" s="69"/>
      <c r="I48" s="69"/>
      <c r="J48" s="69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</row>
    <row r="49" spans="2:25" x14ac:dyDescent="0.35">
      <c r="B49" s="68"/>
      <c r="C49" s="68"/>
      <c r="D49" s="69"/>
      <c r="E49" s="69"/>
      <c r="F49" s="69"/>
      <c r="G49" s="69"/>
      <c r="H49" s="69"/>
      <c r="I49" s="69"/>
      <c r="J49" s="69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</row>
    <row r="50" spans="2:25" x14ac:dyDescent="0.35">
      <c r="B50" s="68"/>
      <c r="C50" s="68"/>
      <c r="D50" s="69"/>
      <c r="E50" s="69"/>
      <c r="F50" s="69"/>
      <c r="G50" s="69"/>
      <c r="H50" s="69"/>
      <c r="I50" s="69"/>
      <c r="J50" s="69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</row>
    <row r="51" spans="2:25" x14ac:dyDescent="0.35">
      <c r="B51" s="68"/>
      <c r="C51" s="68"/>
      <c r="D51" s="69"/>
      <c r="E51" s="69"/>
      <c r="F51" s="69"/>
      <c r="G51" s="69"/>
      <c r="H51" s="69"/>
      <c r="I51" s="69"/>
      <c r="J51" s="69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</row>
    <row r="52" spans="2:25" x14ac:dyDescent="0.35">
      <c r="B52" s="68"/>
      <c r="C52" s="68"/>
      <c r="D52" s="69"/>
      <c r="E52" s="69"/>
      <c r="F52" s="69"/>
      <c r="G52" s="69"/>
      <c r="H52" s="69"/>
      <c r="I52" s="69"/>
      <c r="J52" s="69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</row>
    <row r="53" spans="2:25" x14ac:dyDescent="0.35">
      <c r="B53" s="68"/>
      <c r="C53" s="68"/>
      <c r="D53" s="69"/>
      <c r="E53" s="69"/>
      <c r="F53" s="69"/>
      <c r="G53" s="69"/>
      <c r="H53" s="69"/>
      <c r="I53" s="69"/>
      <c r="J53" s="69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2:25" x14ac:dyDescent="0.35">
      <c r="B54" s="68"/>
      <c r="C54" s="68"/>
      <c r="D54" s="69"/>
      <c r="E54" s="69"/>
      <c r="F54" s="69"/>
      <c r="G54" s="69"/>
      <c r="H54" s="69"/>
      <c r="I54" s="69"/>
      <c r="J54" s="69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</row>
    <row r="55" spans="2:25" x14ac:dyDescent="0.35">
      <c r="B55" s="68"/>
      <c r="C55" s="68"/>
      <c r="D55" s="69"/>
      <c r="E55" s="69"/>
      <c r="F55" s="69"/>
      <c r="G55" s="69"/>
      <c r="H55" s="69"/>
      <c r="I55" s="69"/>
      <c r="J55" s="69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</row>
    <row r="56" spans="2:25" x14ac:dyDescent="0.35">
      <c r="B56" s="68"/>
      <c r="C56" s="68"/>
      <c r="D56" s="69"/>
      <c r="E56" s="69"/>
      <c r="F56" s="69"/>
      <c r="G56" s="69"/>
      <c r="H56" s="69"/>
      <c r="I56" s="69"/>
      <c r="J56" s="69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</row>
    <row r="57" spans="2:25" x14ac:dyDescent="0.35">
      <c r="B57" s="68"/>
      <c r="C57" s="68"/>
      <c r="D57" s="69"/>
      <c r="E57" s="69"/>
      <c r="F57" s="69"/>
      <c r="G57" s="69"/>
      <c r="H57" s="69"/>
      <c r="I57" s="69"/>
      <c r="J57" s="69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</row>
    <row r="58" spans="2:25" x14ac:dyDescent="0.35">
      <c r="B58" s="68"/>
      <c r="C58" s="68"/>
      <c r="D58" s="69"/>
      <c r="E58" s="69"/>
      <c r="F58" s="69"/>
      <c r="G58" s="69"/>
      <c r="H58" s="69"/>
      <c r="I58" s="69"/>
      <c r="J58" s="69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2:25" x14ac:dyDescent="0.35">
      <c r="B59" s="68"/>
      <c r="C59" s="68"/>
      <c r="D59" s="69"/>
      <c r="E59" s="69"/>
      <c r="F59" s="69"/>
      <c r="G59" s="69"/>
      <c r="H59" s="69"/>
      <c r="I59" s="69"/>
      <c r="J59" s="69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2:25" x14ac:dyDescent="0.35">
      <c r="B60" s="68"/>
      <c r="C60" s="68"/>
      <c r="D60" s="69"/>
      <c r="E60" s="69"/>
      <c r="F60" s="69"/>
      <c r="G60" s="69"/>
      <c r="H60" s="69"/>
      <c r="I60" s="69"/>
      <c r="J60" s="69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</row>
    <row r="61" spans="2:25" x14ac:dyDescent="0.35">
      <c r="B61" s="68"/>
      <c r="C61" s="68"/>
      <c r="D61" s="69"/>
      <c r="E61" s="69"/>
      <c r="F61" s="69"/>
      <c r="G61" s="69"/>
      <c r="H61" s="69"/>
      <c r="I61" s="69"/>
      <c r="J61" s="69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</row>
    <row r="62" spans="2:25" x14ac:dyDescent="0.35">
      <c r="B62" s="68"/>
      <c r="C62" s="68"/>
      <c r="D62" s="69"/>
      <c r="E62" s="69"/>
      <c r="F62" s="69"/>
      <c r="G62" s="69"/>
      <c r="H62" s="69"/>
      <c r="I62" s="69"/>
      <c r="J62" s="69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</row>
    <row r="63" spans="2:25" x14ac:dyDescent="0.35">
      <c r="B63" s="68"/>
      <c r="C63" s="68"/>
      <c r="D63" s="69"/>
      <c r="E63" s="69"/>
      <c r="F63" s="69"/>
      <c r="G63" s="69"/>
      <c r="H63" s="69"/>
      <c r="I63" s="69"/>
      <c r="J63" s="69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2:25" x14ac:dyDescent="0.35">
      <c r="B64" s="68"/>
      <c r="C64" s="68"/>
      <c r="D64" s="69"/>
      <c r="E64" s="69"/>
      <c r="F64" s="69"/>
      <c r="G64" s="69"/>
      <c r="H64" s="69"/>
      <c r="I64" s="69"/>
      <c r="J64" s="69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2:25" x14ac:dyDescent="0.35">
      <c r="B65" s="68"/>
      <c r="C65" s="68"/>
      <c r="D65" s="69"/>
      <c r="E65" s="69"/>
      <c r="F65" s="69"/>
      <c r="G65" s="69"/>
      <c r="H65" s="69"/>
      <c r="I65" s="69"/>
      <c r="J65" s="69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2:25" x14ac:dyDescent="0.35">
      <c r="B66" s="68"/>
      <c r="C66" s="68"/>
      <c r="D66" s="69"/>
      <c r="E66" s="69"/>
      <c r="F66" s="69"/>
      <c r="G66" s="69"/>
      <c r="H66" s="69"/>
      <c r="I66" s="69"/>
      <c r="J66" s="69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2:25" x14ac:dyDescent="0.35">
      <c r="B67" s="68"/>
      <c r="C67" s="68"/>
      <c r="D67" s="69"/>
      <c r="E67" s="69"/>
      <c r="F67" s="69"/>
      <c r="G67" s="69"/>
      <c r="H67" s="69"/>
      <c r="I67" s="69"/>
      <c r="J67" s="69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2:25" x14ac:dyDescent="0.35">
      <c r="B68" s="68"/>
      <c r="C68" s="68"/>
      <c r="D68" s="69"/>
      <c r="E68" s="69"/>
      <c r="F68" s="69"/>
      <c r="G68" s="69"/>
      <c r="H68" s="69"/>
      <c r="I68" s="69"/>
      <c r="J68" s="69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2:25" x14ac:dyDescent="0.35">
      <c r="B69" s="68"/>
      <c r="C69" s="68"/>
      <c r="D69" s="69"/>
      <c r="E69" s="69"/>
      <c r="F69" s="69"/>
      <c r="G69" s="69"/>
      <c r="H69" s="69"/>
      <c r="I69" s="69"/>
      <c r="J69" s="69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2:25" x14ac:dyDescent="0.35">
      <c r="B70" s="68"/>
      <c r="C70" s="68"/>
      <c r="D70" s="69"/>
      <c r="E70" s="69"/>
      <c r="F70" s="69"/>
      <c r="G70" s="69"/>
      <c r="H70" s="69"/>
      <c r="I70" s="69"/>
      <c r="J70" s="69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2:25" x14ac:dyDescent="0.35">
      <c r="B71" s="68"/>
      <c r="C71" s="68"/>
      <c r="D71" s="69"/>
      <c r="E71" s="69"/>
      <c r="F71" s="69"/>
      <c r="G71" s="69"/>
      <c r="H71" s="69"/>
      <c r="I71" s="69"/>
      <c r="J71" s="69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2:25" x14ac:dyDescent="0.35">
      <c r="B72" s="68"/>
      <c r="C72" s="68"/>
      <c r="D72" s="69"/>
      <c r="E72" s="69"/>
      <c r="F72" s="69"/>
      <c r="G72" s="69"/>
      <c r="H72" s="69"/>
      <c r="I72" s="69"/>
      <c r="J72" s="69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2:25" x14ac:dyDescent="0.35">
      <c r="B73" s="68"/>
      <c r="C73" s="68"/>
      <c r="D73" s="69"/>
      <c r="E73" s="69"/>
      <c r="F73" s="69"/>
      <c r="G73" s="69"/>
      <c r="H73" s="69"/>
      <c r="I73" s="69"/>
      <c r="J73" s="69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2:25" x14ac:dyDescent="0.35">
      <c r="B74" s="68"/>
      <c r="C74" s="68"/>
      <c r="D74" s="69"/>
      <c r="E74" s="69"/>
      <c r="F74" s="69"/>
      <c r="G74" s="69"/>
      <c r="H74" s="69"/>
      <c r="I74" s="69"/>
      <c r="J74" s="69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2:25" x14ac:dyDescent="0.35">
      <c r="B75" s="68"/>
      <c r="C75" s="68"/>
      <c r="D75" s="69"/>
      <c r="E75" s="69"/>
      <c r="F75" s="69"/>
      <c r="G75" s="69"/>
      <c r="H75" s="69"/>
      <c r="I75" s="69"/>
      <c r="J75" s="69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2:25" x14ac:dyDescent="0.35"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2:25" x14ac:dyDescent="0.35"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2:25" x14ac:dyDescent="0.35"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2:25" x14ac:dyDescent="0.35"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2:25" x14ac:dyDescent="0.35"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</row>
    <row r="81" spans="2:25" x14ac:dyDescent="0.35"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</sheetData>
  <sheetProtection insertColumns="0" insertRows="0" sort="0" autoFilter="0"/>
  <protectedRanges>
    <protectedRange sqref="D13:I21" name="Intervalo1"/>
  </protectedRanges>
  <mergeCells count="4">
    <mergeCell ref="G8:G9"/>
    <mergeCell ref="I8:I9"/>
    <mergeCell ref="D11:I11"/>
    <mergeCell ref="H8:H9"/>
  </mergeCells>
  <dataValidations count="3">
    <dataValidation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sqref="D13:D21" xr:uid="{88FF9221-489C-4812-99BA-E8894AE4568F}"/>
    <dataValidation type="whole" allowBlank="1" showInputMessage="1" showErrorMessage="1" errorTitle="Digite um número válido" error="Digite um número inteiro de 1 a 1.000.000." promptTitle="Digite um Número Inteiro" prompt="Digite um Número Inteiro entre 1 e 1.000.000." sqref="F13:F21" xr:uid="{77FE3DAA-F02E-409D-96BD-FE345BC7399F}">
      <formula1>1</formula1>
      <formula2>1000000</formula2>
    </dataValidation>
    <dataValidation type="decimal" allowBlank="1" showInputMessage="1" showErrorMessage="1" errorTitle="Digite um número válido" error="Digite um número inteiro de 1 a 1.000.000." promptTitle="Digite o Valor da Ação." prompt="Digite um o Valor da Ação" sqref="E13:E21" xr:uid="{ECD0FE45-7DCC-4435-8D90-B8949E80214C}">
      <formula1>1</formula1>
      <formula2>1000000</formula2>
    </dataValidation>
  </dataValidations>
  <pageMargins left="0.511811024" right="0.511811024" top="0.78740157499999996" bottom="0.78740157499999996" header="0.31496062000000002" footer="0.31496062000000002"/>
  <ignoredErrors>
    <ignoredError sqref="G13:G21 I13:I14 I16:I21" unlockedFormula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6EDB-425C-449D-8544-82EBC44E4B40}">
  <dimension ref="A1:F25"/>
  <sheetViews>
    <sheetView showGridLines="0" showRowColHeaders="0" workbookViewId="0">
      <selection activeCell="B7" sqref="A1:XFD1048576"/>
    </sheetView>
  </sheetViews>
  <sheetFormatPr defaultRowHeight="14.5" x14ac:dyDescent="0.35"/>
  <cols>
    <col min="1" max="1" width="20.54296875" style="19" customWidth="1"/>
    <col min="3" max="3" width="9.81640625" customWidth="1"/>
    <col min="4" max="4" width="83.1796875" bestFit="1" customWidth="1"/>
    <col min="5" max="5" width="15.81640625" bestFit="1" customWidth="1"/>
    <col min="6" max="6" width="19.81640625" customWidth="1"/>
  </cols>
  <sheetData>
    <row r="1" spans="3:6" s="18" customFormat="1" x14ac:dyDescent="0.35"/>
    <row r="2" spans="3:6" s="18" customFormat="1" x14ac:dyDescent="0.35"/>
    <row r="3" spans="3:6" s="18" customFormat="1" x14ac:dyDescent="0.35"/>
    <row r="4" spans="3:6" s="18" customFormat="1" x14ac:dyDescent="0.35"/>
    <row r="6" spans="3:6" x14ac:dyDescent="0.35">
      <c r="E6" s="47" t="s">
        <v>20</v>
      </c>
      <c r="F6" s="46" t="s">
        <v>21</v>
      </c>
    </row>
    <row r="7" spans="3:6" x14ac:dyDescent="0.35">
      <c r="C7" t="s">
        <v>22</v>
      </c>
      <c r="D7" t="s">
        <v>23</v>
      </c>
      <c r="E7" t="s">
        <v>24</v>
      </c>
      <c r="F7" t="s">
        <v>25</v>
      </c>
    </row>
    <row r="8" spans="3:6" x14ac:dyDescent="0.35">
      <c r="C8" s="43" t="s">
        <v>26</v>
      </c>
      <c r="D8" t="s">
        <v>27</v>
      </c>
      <c r="E8" s="4">
        <v>100.36</v>
      </c>
      <c r="F8" s="41">
        <f>9.71/12/100</f>
        <v>8.0916666666666671E-3</v>
      </c>
    </row>
    <row r="9" spans="3:6" x14ac:dyDescent="0.35">
      <c r="C9" s="44" t="s">
        <v>28</v>
      </c>
      <c r="D9" t="e" vm="1">
        <v>#VALUE!</v>
      </c>
      <c r="E9" s="4" cm="1">
        <f t="array" aca="1" ref="E9" ca="1">_FV(D9,"Preço")</f>
        <v>78.010000000000005</v>
      </c>
      <c r="F9" s="41">
        <f>10.09/12/100</f>
        <v>8.4083333333333336E-3</v>
      </c>
    </row>
    <row r="10" spans="3:6" x14ac:dyDescent="0.35">
      <c r="C10" s="43" t="s">
        <v>29</v>
      </c>
      <c r="D10" t="s">
        <v>30</v>
      </c>
      <c r="E10" s="4">
        <v>101.65</v>
      </c>
      <c r="F10" s="41">
        <f>10.23/12/100</f>
        <v>8.5249999999999996E-3</v>
      </c>
    </row>
    <row r="11" spans="3:6" x14ac:dyDescent="0.35">
      <c r="C11" s="45" t="s">
        <v>5</v>
      </c>
      <c r="D11" t="e" vm="2">
        <v>#VALUE!</v>
      </c>
      <c r="E11" s="4" cm="1">
        <f t="array" aca="1" ref="E11" ca="1">_FV(D11,"Preço")</f>
        <v>64.11</v>
      </c>
      <c r="F11" s="41">
        <f>10.24/12/100</f>
        <v>8.5333333333333337E-3</v>
      </c>
    </row>
    <row r="12" spans="3:6" x14ac:dyDescent="0.35">
      <c r="C12" s="45" t="s">
        <v>31</v>
      </c>
      <c r="D12" s="42" t="e" vm="3">
        <v>#VALUE!</v>
      </c>
      <c r="E12" s="4" cm="1">
        <f t="array" aca="1" ref="E12" ca="1">_FV(D12,"Preço")</f>
        <v>121.89</v>
      </c>
      <c r="F12" s="41">
        <f>10.26/12/100</f>
        <v>8.5500000000000003E-3</v>
      </c>
    </row>
    <row r="13" spans="3:6" x14ac:dyDescent="0.35">
      <c r="C13" s="45" t="s">
        <v>32</v>
      </c>
      <c r="D13" s="42" t="e" vm="4">
        <v>#VALUE!</v>
      </c>
      <c r="E13" s="4" cm="1">
        <f t="array" aca="1" ref="E13" ca="1">_FV(D13,"Preço")</f>
        <v>108.72</v>
      </c>
      <c r="F13" s="41">
        <f>10.98/12/100</f>
        <v>9.1500000000000001E-3</v>
      </c>
    </row>
    <row r="14" spans="3:6" x14ac:dyDescent="0.35">
      <c r="C14" s="45" t="s">
        <v>33</v>
      </c>
      <c r="D14" s="42" t="e" vm="5">
        <v>#VALUE!</v>
      </c>
      <c r="E14" s="4" cm="1">
        <f t="array" aca="1" ref="E14" ca="1">_FV(D14,"Preço")</f>
        <v>100.91</v>
      </c>
      <c r="F14" s="41">
        <f>11.02/12/100</f>
        <v>9.1833333333333333E-3</v>
      </c>
    </row>
    <row r="15" spans="3:6" x14ac:dyDescent="0.35">
      <c r="C15" s="45" t="str" cm="1">
        <f t="array" aca="1" ref="C15" ca="1">_FV(D15,"Símbolo do ticker",TRUE)</f>
        <v>VISC11</v>
      </c>
      <c r="D15" t="e" vm="6">
        <v>#VALUE!</v>
      </c>
      <c r="E15" s="1" cm="1">
        <f t="array" aca="1" ref="E15" ca="1">_FV(D15,"Preço")</f>
        <v>103.46</v>
      </c>
      <c r="F15" s="41">
        <f>11.53/12/100</f>
        <v>9.6083333333333333E-3</v>
      </c>
    </row>
    <row r="16" spans="3:6" x14ac:dyDescent="0.35">
      <c r="C16" s="45" t="str" cm="1">
        <f t="array" aca="1" ref="C16" ca="1">_FV(D16,"Símbolo do ticker",TRUE)</f>
        <v>KNCR11</v>
      </c>
      <c r="D16" t="e" vm="7">
        <v>#VALUE!</v>
      </c>
      <c r="E16" s="1" cm="1">
        <f t="array" aca="1" ref="E16" ca="1">_FV(D16,"Preço")</f>
        <v>103.59</v>
      </c>
      <c r="F16" s="41">
        <f>11.55/12/100</f>
        <v>9.6249999999999999E-3</v>
      </c>
    </row>
    <row r="17" spans="3:6" x14ac:dyDescent="0.35">
      <c r="C17" s="45" t="str" cm="1">
        <f t="array" aca="1" ref="C17" ca="1">_FV(D17,"Símbolo do ticker",TRUE)</f>
        <v>MCCI11</v>
      </c>
      <c r="D17" t="e" vm="8">
        <v>#VALUE!</v>
      </c>
      <c r="E17" s="1" cm="1">
        <f t="array" aca="1" ref="E17" ca="1">_FV(D17,"Preço")</f>
        <v>85.5</v>
      </c>
      <c r="F17" s="41">
        <f>12.4/12/100</f>
        <v>1.0333333333333335E-2</v>
      </c>
    </row>
    <row r="18" spans="3:6" x14ac:dyDescent="0.35">
      <c r="C18" s="45" t="str" cm="1">
        <f t="array" aca="1" ref="C18" ca="1">_FV(D18,"Símbolo do ticker",TRUE)</f>
        <v>RBRR11</v>
      </c>
      <c r="D18" t="e" vm="9">
        <v>#VALUE!</v>
      </c>
      <c r="E18" s="1" cm="1">
        <f t="array" aca="1" ref="E18" ca="1">_FV(D18,"Preço")</f>
        <v>87.5</v>
      </c>
      <c r="F18" s="41">
        <f>12.54/12/100</f>
        <v>1.0449999999999999E-2</v>
      </c>
    </row>
    <row r="19" spans="3:6" x14ac:dyDescent="0.35">
      <c r="C19" s="43" t="s">
        <v>34</v>
      </c>
      <c r="D19" t="s">
        <v>35</v>
      </c>
      <c r="E19" s="4">
        <v>7.09</v>
      </c>
      <c r="F19" s="41">
        <f>12.62/12/100</f>
        <v>1.0516666666666665E-2</v>
      </c>
    </row>
    <row r="20" spans="3:6" x14ac:dyDescent="0.35">
      <c r="C20" s="45" t="str" cm="1">
        <f t="array" aca="1" ref="C20" ca="1">_FV(D20,"Símbolo do ticker",TRUE)</f>
        <v>TEPP11</v>
      </c>
      <c r="D20" t="e" vm="10">
        <v>#VALUE!</v>
      </c>
      <c r="E20" s="1" cm="1">
        <f t="array" aca="1" ref="E20" ca="1">_FV(D20,"Preço")</f>
        <v>82.6</v>
      </c>
      <c r="F20" s="41">
        <f>13.71/12/100</f>
        <v>1.1425000000000001E-2</v>
      </c>
    </row>
    <row r="21" spans="3:6" x14ac:dyDescent="0.35">
      <c r="C21" s="45" t="str" cm="1">
        <f t="array" aca="1" ref="C21" ca="1">_FV(D21,"Símbolo do ticker",TRUE)</f>
        <v>CVBI11</v>
      </c>
      <c r="D21" t="e" vm="11">
        <v>#VALUE!</v>
      </c>
      <c r="E21" s="1" cm="1">
        <f t="array" aca="1" ref="E21" ca="1">_FV(D21,"Preço")</f>
        <v>86.9</v>
      </c>
      <c r="F21" s="41">
        <f>13.98/12/100</f>
        <v>1.1650000000000001E-2</v>
      </c>
    </row>
    <row r="22" spans="3:6" x14ac:dyDescent="0.35">
      <c r="C22" s="45" t="str" cm="1">
        <f t="array" aca="1" ref="C22" ca="1">_FV(D22,"Símbolo do ticker",TRUE)</f>
        <v>XPCI11</v>
      </c>
      <c r="D22" t="e" vm="12">
        <v>#VALUE!</v>
      </c>
      <c r="E22" s="1" cm="1">
        <f t="array" aca="1" ref="E22" ca="1">_FV(D22,"Preço")</f>
        <v>79.349999999999994</v>
      </c>
      <c r="F22" s="41">
        <f>14.03/12/100</f>
        <v>1.1691666666666666E-2</v>
      </c>
    </row>
    <row r="25" spans="3:6" x14ac:dyDescent="0.35">
      <c r="D25" s="47" t="s">
        <v>36</v>
      </c>
      <c r="E25" s="48">
        <v>45810.378335763889</v>
      </c>
    </row>
  </sheetData>
  <sheetProtection sheet="1" objects="1" scenarios="1" sort="0" autoFilter="0"/>
  <hyperlinks>
    <hyperlink ref="F6" r:id="rId1" xr:uid="{117549B1-515A-4D52-AB47-676FDC554B15}"/>
  </hyperlinks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961C-1285-4B3A-A16E-782A278DF612}">
  <dimension ref="B2:L9"/>
  <sheetViews>
    <sheetView workbookViewId="0">
      <selection activeCell="F15" sqref="F15"/>
    </sheetView>
  </sheetViews>
  <sheetFormatPr defaultRowHeight="14.5" x14ac:dyDescent="0.35"/>
  <cols>
    <col min="3" max="3" width="18" bestFit="1" customWidth="1"/>
    <col min="4" max="4" width="12.54296875" bestFit="1" customWidth="1"/>
    <col min="5" max="5" width="16.1796875" bestFit="1" customWidth="1"/>
    <col min="11" max="11" width="27.1796875" bestFit="1" customWidth="1"/>
    <col min="12" max="12" width="11.54296875" bestFit="1" customWidth="1"/>
  </cols>
  <sheetData>
    <row r="2" spans="2:12" x14ac:dyDescent="0.35">
      <c r="B2" t="s">
        <v>37</v>
      </c>
      <c r="E2" t="s">
        <v>38</v>
      </c>
    </row>
    <row r="3" spans="2:12" x14ac:dyDescent="0.35">
      <c r="B3" t="s">
        <v>23</v>
      </c>
      <c r="C3" t="s">
        <v>2</v>
      </c>
      <c r="D3" t="s">
        <v>3</v>
      </c>
      <c r="E3" t="s">
        <v>4</v>
      </c>
      <c r="F3" t="s">
        <v>6</v>
      </c>
      <c r="K3" t="s">
        <v>39</v>
      </c>
      <c r="L3" t="s">
        <v>40</v>
      </c>
    </row>
    <row r="4" spans="2:12" x14ac:dyDescent="0.35">
      <c r="B4" t="s">
        <v>41</v>
      </c>
      <c r="C4">
        <f>1</f>
        <v>1</v>
      </c>
      <c r="D4" s="4" t="e">
        <f>_xlfn.XLOOKUP(B4,#REF!,#REF!,"Valor não Encontrado",0)</f>
        <v>#REF!</v>
      </c>
      <c r="E4" s="5" t="e">
        <f>_xlfn.XLOOKUP(B4,#REF!,#REF!,"Valor não Encontrado",0)</f>
        <v>#REF!</v>
      </c>
      <c r="F4" s="3" t="e">
        <f>_xlfn.XLOOKUP(B4,#REF!,#REF!)</f>
        <v>#REF!</v>
      </c>
      <c r="K4" t="s">
        <v>42</v>
      </c>
      <c r="L4" s="1">
        <v>200</v>
      </c>
    </row>
    <row r="5" spans="2:12" x14ac:dyDescent="0.35">
      <c r="C5">
        <v>10</v>
      </c>
      <c r="D5" s="6" t="e">
        <f>$D$4*C5</f>
        <v>#REF!</v>
      </c>
      <c r="E5" s="5" t="e">
        <f>($D$4*$F$4)*C5</f>
        <v>#REF!</v>
      </c>
      <c r="K5" t="s">
        <v>43</v>
      </c>
      <c r="L5" s="2">
        <v>3</v>
      </c>
    </row>
    <row r="6" spans="2:12" x14ac:dyDescent="0.35">
      <c r="C6">
        <v>100</v>
      </c>
      <c r="D6" s="6" t="e">
        <f t="shared" ref="D6:D7" si="0">$D$4*C6</f>
        <v>#REF!</v>
      </c>
      <c r="E6" s="5" t="e">
        <f t="shared" ref="E6:E7" si="1">($D$4*$F$4)*C6</f>
        <v>#REF!</v>
      </c>
      <c r="K6" t="s">
        <v>44</v>
      </c>
      <c r="L6" s="3">
        <v>0.01</v>
      </c>
    </row>
    <row r="7" spans="2:12" x14ac:dyDescent="0.35">
      <c r="C7">
        <v>1000</v>
      </c>
      <c r="D7" s="6" t="e">
        <f t="shared" si="0"/>
        <v>#REF!</v>
      </c>
      <c r="E7" s="5" t="e">
        <f t="shared" si="1"/>
        <v>#REF!</v>
      </c>
      <c r="K7" t="s">
        <v>3</v>
      </c>
      <c r="L7" s="1">
        <f>$L$4*($L$5*12)</f>
        <v>7200</v>
      </c>
    </row>
    <row r="8" spans="2:12" x14ac:dyDescent="0.35">
      <c r="K8" t="str">
        <f>_xlfn.CONCAT("Dívidendos Mensais após ",L5," anos")</f>
        <v>Dívidendos Mensais após 3 anos</v>
      </c>
      <c r="L8" s="1">
        <f>L7*L6</f>
        <v>72</v>
      </c>
    </row>
    <row r="9" spans="2:12" x14ac:dyDescent="0.35">
      <c r="K9" t="s">
        <v>45</v>
      </c>
      <c r="L9" s="4">
        <f>FV(L6,L5*12,-L4,1)</f>
        <v>8613.9449030480282</v>
      </c>
    </row>
  </sheetData>
  <dataValidations count="1">
    <dataValidation type="list"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sqref="B4" xr:uid="{19F31263-3264-4C69-ADB8-1389A54A119B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31801-BF4F-4734-A72B-51DC816CE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Simulações</vt:lpstr>
      <vt:lpstr>Simule uma Compra</vt:lpstr>
      <vt:lpstr>Fundos de Investimento </vt:lpstr>
      <vt:lpstr>Cálculos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Santos</dc:creator>
  <cp:keywords/>
  <dc:description/>
  <cp:lastModifiedBy>Alex Santos</cp:lastModifiedBy>
  <cp:revision/>
  <dcterms:created xsi:type="dcterms:W3CDTF">2025-05-15T15:11:14Z</dcterms:created>
  <dcterms:modified xsi:type="dcterms:W3CDTF">2025-06-02T13:54:41Z</dcterms:modified>
  <cp:category/>
  <cp:contentStatus/>
</cp:coreProperties>
</file>