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anto\Downloads\"/>
    </mc:Choice>
  </mc:AlternateContent>
  <xr:revisionPtr revIDLastSave="0" documentId="13_ncr:1_{617F5944-9DB1-4CDB-BF15-D7B1B73D727B}" xr6:coauthVersionLast="47" xr6:coauthVersionMax="47" xr10:uidLastSave="{00000000-0000-0000-0000-000000000000}"/>
  <bookViews>
    <workbookView xWindow="-110" yWindow="-110" windowWidth="19420" windowHeight="11020" tabRatio="480" xr2:uid="{65976C1F-B8C6-4EB9-9C73-3728E219A18B}"/>
  </bookViews>
  <sheets>
    <sheet name="Simulações" sheetId="1" r:id="rId1"/>
    <sheet name="Simule uma Compra" sheetId="5" r:id="rId2"/>
    <sheet name="Fundos de Investimento " sheetId="6" r:id="rId3"/>
    <sheet name="Cálculos" sheetId="4" state="hidden" r:id="rId4"/>
  </sheets>
  <definedNames>
    <definedName name="Código_dos_FII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6" l="1"/>
  <c r="F10" i="6"/>
  <c r="F8" i="6"/>
  <c r="I13" i="5"/>
  <c r="I14" i="5"/>
  <c r="I15" i="5"/>
  <c r="I16" i="5"/>
  <c r="I17" i="5"/>
  <c r="I18" i="5"/>
  <c r="I19" i="5"/>
  <c r="I20" i="5"/>
  <c r="I21" i="5"/>
  <c r="G13" i="5"/>
  <c r="G14" i="5"/>
  <c r="G15" i="5"/>
  <c r="G16" i="5"/>
  <c r="G17" i="5"/>
  <c r="G18" i="5"/>
  <c r="G19" i="5"/>
  <c r="G20" i="5"/>
  <c r="G21" i="5"/>
  <c r="G8" i="5"/>
  <c r="F22" i="6"/>
  <c r="F21" i="6"/>
  <c r="E21" i="6" a="1"/>
  <c r="E21" i="6"/>
  <c r="E22" i="6" a="1"/>
  <c r="E22" i="6"/>
  <c r="C21" i="6" a="1"/>
  <c r="C21" i="6"/>
  <c r="C22" i="6" a="1"/>
  <c r="C22" i="6"/>
  <c r="F20" i="6"/>
  <c r="F18" i="6"/>
  <c r="E18" i="6" a="1"/>
  <c r="E18" i="6"/>
  <c r="E20" i="6" a="1"/>
  <c r="E20" i="6"/>
  <c r="C20" i="6" a="1"/>
  <c r="C20" i="6"/>
  <c r="C18" i="6" a="1"/>
  <c r="C18" i="6"/>
  <c r="F17" i="6"/>
  <c r="F16" i="6"/>
  <c r="F15" i="6"/>
  <c r="E15" i="6" a="1"/>
  <c r="E15" i="6"/>
  <c r="E16" i="6" a="1"/>
  <c r="E16" i="6"/>
  <c r="E17" i="6" a="1"/>
  <c r="E17" i="6"/>
  <c r="C15" i="6" a="1"/>
  <c r="C15" i="6"/>
  <c r="C16" i="6" a="1"/>
  <c r="C16" i="6"/>
  <c r="C17" i="6" a="1"/>
  <c r="C17" i="6"/>
  <c r="F14" i="6"/>
  <c r="F13" i="6"/>
  <c r="F12" i="6"/>
  <c r="E14" i="6" a="1"/>
  <c r="E14" i="6"/>
  <c r="E13" i="6" a="1"/>
  <c r="E13" i="6"/>
  <c r="E12" i="6" a="1"/>
  <c r="E12" i="6"/>
  <c r="E9" i="6" a="1"/>
  <c r="E9" i="6"/>
  <c r="E11" i="6" a="1"/>
  <c r="E11" i="6"/>
  <c r="F11" i="6"/>
  <c r="F9" i="6"/>
  <c r="J10" i="5"/>
  <c r="J11" i="5"/>
  <c r="J12" i="5"/>
  <c r="J13" i="5"/>
  <c r="J14" i="5"/>
  <c r="J15" i="5"/>
  <c r="J16" i="5"/>
  <c r="K5" i="1"/>
  <c r="J5" i="1"/>
  <c r="H8" i="5"/>
  <c r="L9" i="4"/>
  <c r="K8" i="4"/>
  <c r="L7" i="4"/>
  <c r="L8" i="4" s="1"/>
  <c r="H27" i="1"/>
  <c r="H28" i="1"/>
  <c r="H29" i="1"/>
  <c r="H30" i="1"/>
  <c r="H31" i="1"/>
  <c r="H32" i="1"/>
  <c r="H33" i="1"/>
  <c r="H34" i="1"/>
  <c r="G27" i="1"/>
  <c r="G28" i="1"/>
  <c r="G29" i="1"/>
  <c r="G30" i="1"/>
  <c r="G31" i="1"/>
  <c r="G32" i="1"/>
  <c r="G33" i="1"/>
  <c r="G34" i="1"/>
  <c r="G26" i="1"/>
  <c r="H26" i="1"/>
  <c r="H21" i="1"/>
  <c r="G21" i="1"/>
  <c r="F4" i="4"/>
  <c r="E4" i="4"/>
  <c r="D4" i="4"/>
  <c r="C4" i="4"/>
  <c r="G14" i="1"/>
  <c r="F16" i="1" l="1"/>
  <c r="E16" i="1"/>
  <c r="F9" i="1"/>
  <c r="E9" i="1"/>
  <c r="I8" i="5"/>
  <c r="E11" i="1"/>
  <c r="E12" i="1"/>
  <c r="E10" i="1"/>
  <c r="E6" i="4"/>
  <c r="E7" i="4"/>
  <c r="E5" i="4"/>
  <c r="D6" i="4"/>
  <c r="D7" i="4"/>
  <c r="D5" i="4"/>
  <c r="F11" i="1" l="1"/>
  <c r="F12" i="1"/>
  <c r="F1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04A7C2-59A6-4A25-B0C6-F3FA4D5F801A}" keepAlive="1" name="Consulta - FII" description="Conexão com a consulta 'FII' na pasta de trabalho." type="5" refreshedVersion="8" background="1" saveData="1">
    <dbPr connection="Provider=Microsoft.Mashup.OleDb.1;Data Source=$Workbook$;Location=FII;Extended Properties=&quot;&quot;" command="SELECT * FROM [FII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2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5"/>
        </ext>
      </extLst>
    </bk>
  </futureMetadata>
  <cellMetadata count="1">
    <bk>
      <rc t="1" v="0"/>
    </bk>
  </cellMetadata>
  <valueMetadata count="1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</valueMetadata>
</metadata>
</file>

<file path=xl/sharedStrings.xml><?xml version="1.0" encoding="utf-8"?>
<sst xmlns="http://schemas.openxmlformats.org/spreadsheetml/2006/main" count="65" uniqueCount="46">
  <si>
    <t>Cenários de Investimento</t>
  </si>
  <si>
    <t>Nome do Fundo</t>
  </si>
  <si>
    <t>Quantidade de Cotas</t>
  </si>
  <si>
    <t>Valor Investido</t>
  </si>
  <si>
    <t xml:space="preserve">Valor do Dividendo </t>
  </si>
  <si>
    <t>JSRE11</t>
  </si>
  <si>
    <t>Dividend Yield</t>
  </si>
  <si>
    <t>Crie Seu Próprio Cenário</t>
  </si>
  <si>
    <r>
      <t>Obs: Há uma lista de fundos na guia "</t>
    </r>
    <r>
      <rPr>
        <b/>
        <sz val="11"/>
        <color theme="1"/>
        <rFont val="Segoe UI"/>
        <family val="2"/>
      </rPr>
      <t>FUNDOS DE INVESTIMENTO</t>
    </r>
    <r>
      <rPr>
        <sz val="11"/>
        <color theme="1"/>
        <rFont val="Segoe UI"/>
        <family val="2"/>
      </rPr>
      <t>" para simular valores fora dessa lista use a guia "</t>
    </r>
    <r>
      <rPr>
        <b/>
        <sz val="11"/>
        <color theme="1"/>
        <rFont val="Segoe UI"/>
        <family val="2"/>
      </rPr>
      <t>SIMULE UMA COMPRA</t>
    </r>
    <r>
      <rPr>
        <sz val="11"/>
        <color theme="1"/>
        <rFont val="Segoe UI"/>
        <family val="2"/>
      </rPr>
      <t>".</t>
    </r>
  </si>
  <si>
    <t>Dividendo</t>
  </si>
  <si>
    <r>
      <t>Obs: Cenários mais complexos podem ser feitos na guia "</t>
    </r>
    <r>
      <rPr>
        <b/>
        <sz val="11"/>
        <color theme="1"/>
        <rFont val="Segoe UI"/>
        <family val="2"/>
      </rPr>
      <t>SIMULE UMA COMPRA</t>
    </r>
    <r>
      <rPr>
        <sz val="11"/>
        <color theme="1"/>
        <rFont val="Segoe UI"/>
        <family val="2"/>
      </rPr>
      <t>"</t>
    </r>
  </si>
  <si>
    <t>Total do Valor Investido</t>
  </si>
  <si>
    <t>Total dos Dividendos</t>
  </si>
  <si>
    <t>Crie seu Portfólio de Investimentos</t>
  </si>
  <si>
    <t>Valor da Cota</t>
  </si>
  <si>
    <t>Dividend Yield (% a.m)</t>
  </si>
  <si>
    <t>Valor do Dividendo</t>
  </si>
  <si>
    <t>HGLG11</t>
  </si>
  <si>
    <t>BTHF11</t>
  </si>
  <si>
    <r>
      <t xml:space="preserve">Obs: Para o cálculo dos dividendos mensais é necessário o </t>
    </r>
    <r>
      <rPr>
        <b/>
        <sz val="11"/>
        <color theme="1"/>
        <rFont val="Segoe UI"/>
        <family val="2"/>
      </rPr>
      <t>DIVIDEND YIELD</t>
    </r>
    <r>
      <rPr>
        <sz val="11"/>
        <color theme="1"/>
        <rFont val="Segoe UI"/>
        <family val="2"/>
      </rPr>
      <t xml:space="preserve"> em valores mensais</t>
    </r>
  </si>
  <si>
    <t>Fonte:</t>
  </si>
  <si>
    <t>https://conteudos.xpi.com.br/fundos-imobiliarios/top-25-fundos-imobiliarios/</t>
  </si>
  <si>
    <t>Fundos</t>
  </si>
  <si>
    <t>Nome</t>
  </si>
  <si>
    <t>Valor</t>
  </si>
  <si>
    <t>Dividend Yield (a.m)</t>
  </si>
  <si>
    <t>BTGL11</t>
  </si>
  <si>
    <t>BTG PACTUAL LOGÍSTICA FII - BTLG11</t>
  </si>
  <si>
    <t>PVBI11</t>
  </si>
  <si>
    <t>XLPG11</t>
  </si>
  <si>
    <t>VBI PRIME PROPERTIES FII - PVBI11</t>
  </si>
  <si>
    <t>HGRU11</t>
  </si>
  <si>
    <t>BRCO11</t>
  </si>
  <si>
    <t>LVBI11</t>
  </si>
  <si>
    <t>RBFR11</t>
  </si>
  <si>
    <t>RBR ALPHA FUNDO DE FUNDOS FII - RBRF11</t>
  </si>
  <si>
    <t>Última Atualização:</t>
  </si>
  <si>
    <t>Cenários</t>
  </si>
  <si>
    <t>PorCotas</t>
  </si>
  <si>
    <t>Simulação de Investimento</t>
  </si>
  <si>
    <t>Valores</t>
  </si>
  <si>
    <t>AAGR11</t>
  </si>
  <si>
    <t>Quanto Investir</t>
  </si>
  <si>
    <t>Por Quantos Anos</t>
  </si>
  <si>
    <t>Rendimento Percentual Mensal</t>
  </si>
  <si>
    <t>Valor Total Recebido no Período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</si>
</sst>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&quot;R$&quot;\ #,##0.00"/>
    <numFmt numFmtId="166" formatCode="[$-F800]dddd\,\ mmmm\ dd\,\ yyyy"/>
    <numFmt numFmtId="167" formatCode="[$-F400]h:mm:ss\ AM/PM"/>
    <numFmt numFmtId="168" formatCode="d/m/yy\ h:mm;@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Segoe UI"/>
      <family val="2"/>
    </font>
    <font>
      <u/>
      <sz val="10"/>
      <color theme="10"/>
      <name val="Segoe UI"/>
      <family val="2"/>
    </font>
    <font>
      <b/>
      <sz val="11"/>
      <color theme="1"/>
      <name val="Segoe UI"/>
      <family val="2"/>
    </font>
    <font>
      <sz val="18"/>
      <color theme="1"/>
      <name val="Segoe UI Black"/>
      <family val="2"/>
    </font>
    <font>
      <b/>
      <sz val="11"/>
      <color rgb="FF000000"/>
      <name val="Segoe UI"/>
      <family val="2"/>
    </font>
    <font>
      <b/>
      <sz val="1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theme="2"/>
      </right>
      <top/>
      <bottom/>
      <diagonal/>
    </border>
    <border>
      <left/>
      <right/>
      <top style="medium">
        <color theme="2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17600024414813E-2"/>
      </left>
      <right/>
      <top style="thin">
        <color theme="2" tint="-9.9948118533890809E-2"/>
      </top>
      <bottom style="thin">
        <color theme="2" tint="-9.9917600024414813E-2"/>
      </bottom>
      <diagonal/>
    </border>
    <border>
      <left/>
      <right/>
      <top style="thin">
        <color theme="2" tint="-9.9948118533890809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thin">
        <color theme="2" tint="-9.9948118533890809E-2"/>
      </top>
      <bottom style="thin">
        <color theme="2" tint="-9.9917600024414813E-2"/>
      </bottom>
      <diagonal/>
    </border>
    <border>
      <left style="thin">
        <color theme="2" tint="-9.9917600024414813E-2"/>
      </left>
      <right/>
      <top style="thin">
        <color theme="2" tint="-9.9917600024414813E-2"/>
      </top>
      <bottom style="thin">
        <color theme="2" tint="-9.9917600024414813E-2"/>
      </bottom>
      <diagonal/>
    </border>
    <border>
      <left/>
      <right/>
      <top style="thin">
        <color theme="2" tint="-9.9917600024414813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/>
      <top style="thin">
        <color theme="4"/>
      </top>
      <bottom/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4"/>
      </bottom>
      <diagonal/>
    </border>
    <border>
      <left/>
      <right/>
      <top style="thin">
        <color theme="2" tint="-9.9948118533890809E-2"/>
      </top>
      <bottom style="thin">
        <color theme="4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8">
    <xf numFmtId="0" fontId="0" fillId="0" borderId="0" xfId="0"/>
    <xf numFmtId="164" fontId="0" fillId="0" borderId="0" xfId="0" applyNumberFormat="1"/>
    <xf numFmtId="1" fontId="0" fillId="0" borderId="0" xfId="0" applyNumberFormat="1"/>
    <xf numFmtId="9" fontId="0" fillId="0" borderId="0" xfId="2" applyFont="1"/>
    <xf numFmtId="44" fontId="0" fillId="0" borderId="0" xfId="1" applyFont="1"/>
    <xf numFmtId="165" fontId="0" fillId="0" borderId="0" xfId="0" applyNumberFormat="1"/>
    <xf numFmtId="44" fontId="0" fillId="0" borderId="0" xfId="0" applyNumberFormat="1"/>
    <xf numFmtId="0" fontId="0" fillId="0" borderId="1" xfId="0" applyBorder="1"/>
    <xf numFmtId="0" fontId="0" fillId="0" borderId="2" xfId="0" applyBorder="1"/>
    <xf numFmtId="9" fontId="0" fillId="0" borderId="0" xfId="2" applyFont="1" applyBorder="1"/>
    <xf numFmtId="44" fontId="0" fillId="0" borderId="3" xfId="1" applyFont="1" applyBorder="1"/>
    <xf numFmtId="0" fontId="4" fillId="0" borderId="0" xfId="0" applyFont="1"/>
    <xf numFmtId="9" fontId="4" fillId="0" borderId="0" xfId="2" applyFont="1"/>
    <xf numFmtId="0" fontId="5" fillId="0" borderId="0" xfId="3" applyFont="1"/>
    <xf numFmtId="0" fontId="4" fillId="0" borderId="5" xfId="0" applyFont="1" applyBorder="1"/>
    <xf numFmtId="166" fontId="2" fillId="0" borderId="5" xfId="0" applyNumberFormat="1" applyFont="1" applyBorder="1"/>
    <xf numFmtId="167" fontId="2" fillId="0" borderId="5" xfId="0" applyNumberFormat="1" applyFont="1" applyBorder="1"/>
    <xf numFmtId="0" fontId="0" fillId="0" borderId="5" xfId="0" applyBorder="1"/>
    <xf numFmtId="0" fontId="0" fillId="2" borderId="0" xfId="0" applyFill="1"/>
    <xf numFmtId="0" fontId="0" fillId="2" borderId="4" xfId="0" applyFill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1" fontId="4" fillId="0" borderId="13" xfId="0" applyNumberFormat="1" applyFont="1" applyBorder="1"/>
    <xf numFmtId="44" fontId="4" fillId="0" borderId="13" xfId="1" applyFont="1" applyBorder="1"/>
    <xf numFmtId="165" fontId="4" fillId="0" borderId="14" xfId="0" applyNumberFormat="1" applyFont="1" applyBorder="1"/>
    <xf numFmtId="44" fontId="4" fillId="0" borderId="13" xfId="0" applyNumberFormat="1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1" fontId="4" fillId="0" borderId="22" xfId="0" applyNumberFormat="1" applyFont="1" applyBorder="1"/>
    <xf numFmtId="44" fontId="4" fillId="0" borderId="22" xfId="1" applyFont="1" applyBorder="1"/>
    <xf numFmtId="165" fontId="4" fillId="0" borderId="23" xfId="1" applyNumberFormat="1" applyFont="1" applyBorder="1"/>
    <xf numFmtId="0" fontId="4" fillId="0" borderId="24" xfId="0" applyFont="1" applyBorder="1"/>
    <xf numFmtId="0" fontId="4" fillId="0" borderId="25" xfId="0" applyFont="1" applyBorder="1"/>
    <xf numFmtId="0" fontId="4" fillId="0" borderId="26" xfId="0" applyFont="1" applyBorder="1"/>
    <xf numFmtId="1" fontId="4" fillId="0" borderId="27" xfId="0" applyNumberFormat="1" applyFont="1" applyBorder="1"/>
    <xf numFmtId="44" fontId="4" fillId="0" borderId="27" xfId="1" applyFont="1" applyBorder="1"/>
    <xf numFmtId="0" fontId="4" fillId="0" borderId="27" xfId="0" applyFont="1" applyBorder="1"/>
    <xf numFmtId="0" fontId="8" fillId="0" borderId="0" xfId="0" applyFont="1"/>
    <xf numFmtId="0" fontId="8" fillId="0" borderId="0" xfId="0" applyFont="1" applyAlignment="1">
      <alignment horizontal="left" vertical="center" indent="1"/>
    </xf>
    <xf numFmtId="0" fontId="8" fillId="0" borderId="0" xfId="0" applyFont="1" applyAlignment="1">
      <alignment horizontal="right"/>
    </xf>
    <xf numFmtId="10" fontId="0" fillId="0" borderId="0" xfId="2" applyNumberFormat="1" applyFont="1"/>
    <xf numFmtId="0" fontId="0" fillId="0" borderId="0" xfId="1" applyNumberFormat="1" applyFont="1"/>
    <xf numFmtId="49" fontId="0" fillId="0" borderId="0" xfId="0" applyNumberFormat="1"/>
    <xf numFmtId="49" fontId="0" fillId="0" borderId="0" xfId="1" applyNumberFormat="1" applyFont="1" applyAlignment="1">
      <alignment horizontal="left"/>
    </xf>
    <xf numFmtId="49" fontId="0" fillId="0" borderId="0" xfId="1" applyNumberFormat="1" applyFont="1"/>
    <xf numFmtId="10" fontId="4" fillId="0" borderId="27" xfId="2" applyNumberFormat="1" applyFont="1" applyBorder="1"/>
    <xf numFmtId="0" fontId="3" fillId="0" borderId="0" xfId="3"/>
    <xf numFmtId="0" fontId="0" fillId="0" borderId="0" xfId="0" applyAlignment="1">
      <alignment horizontal="right"/>
    </xf>
    <xf numFmtId="0" fontId="9" fillId="3" borderId="0" xfId="0" applyFont="1" applyFill="1"/>
    <xf numFmtId="1" fontId="9" fillId="3" borderId="27" xfId="0" applyNumberFormat="1" applyFont="1" applyFill="1" applyBorder="1"/>
    <xf numFmtId="168" fontId="0" fillId="0" borderId="0" xfId="0" applyNumberFormat="1"/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4" fontId="7" fillId="0" borderId="0" xfId="1" applyFont="1" applyBorder="1" applyAlignment="1">
      <alignment horizontal="center" vertical="center"/>
    </xf>
    <xf numFmtId="0" fontId="6" fillId="0" borderId="28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44" fontId="7" fillId="0" borderId="0" xfId="1" applyFont="1" applyAlignment="1">
      <alignment horizontal="center" vertical="center"/>
    </xf>
  </cellXfs>
  <cellStyles count="4">
    <cellStyle name="Hiperlink" xfId="3" builtinId="8"/>
    <cellStyle name="Moeda" xfId="1" builtinId="4"/>
    <cellStyle name="Normal" xfId="0" builtinId="0"/>
    <cellStyle name="Porcentagem" xfId="2" builtinId="5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34" formatCode="_-&quot;R$&quot;\ * #,##0.00_-;\-&quot;R$&quot;\ * #,##0.00_-;_-&quot;R$&quot;\ * &quot;-&quot;??_-;_-@_-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34" formatCode="_-&quot;R$&quot;\ * #,##0.00_-;\-&quot;R$&quot;\ * #,##0.00_-;_-&quot;R$&quot;\ * &quot;-&quot;??_-;_-@_-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" formatCode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colors>
    <mruColors>
      <color rgb="FF7AC6D2"/>
      <color rgb="FF3A59D1"/>
      <color rgb="FF3D90D7"/>
      <color rgb="FFB5FCCD"/>
      <color rgb="FFDFD0B8"/>
      <color rgb="FF948979"/>
      <color rgb="FF393E46"/>
      <color rgb="FF2228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ichStyles" Target="richData/rich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5" Type="http://schemas.microsoft.com/office/2017/06/relationships/rdRichValueTypes" Target="richData/rdRichValueTypes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06/relationships/rdSupportingPropertyBag" Target="richData/rdsupportingpropertybag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#Simula&#231;&#245;es!C9"/><Relationship Id="rId5" Type="http://schemas.openxmlformats.org/officeDocument/2006/relationships/hyperlink" Target="#'Fundos de Investimento '!C8"/><Relationship Id="rId4" Type="http://schemas.openxmlformats.org/officeDocument/2006/relationships/hyperlink" Target="#'Simule um Portf&#243;lio'!D13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7" Type="http://schemas.openxmlformats.org/officeDocument/2006/relationships/image" Target="../media/image4.svg"/><Relationship Id="rId2" Type="http://schemas.openxmlformats.org/officeDocument/2006/relationships/image" Target="../media/image1.png"/><Relationship Id="rId1" Type="http://schemas.openxmlformats.org/officeDocument/2006/relationships/hyperlink" Target="#Simula&#231;&#245;es!C9"/><Relationship Id="rId6" Type="http://schemas.openxmlformats.org/officeDocument/2006/relationships/image" Target="../media/image3.png"/><Relationship Id="rId5" Type="http://schemas.openxmlformats.org/officeDocument/2006/relationships/hyperlink" Target="#'Fundos de Investimento '!C8"/><Relationship Id="rId4" Type="http://schemas.openxmlformats.org/officeDocument/2006/relationships/hyperlink" Target="#'Simule um Portf&#243;lio'!D13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#Simula&#231;&#245;es!C9"/><Relationship Id="rId5" Type="http://schemas.openxmlformats.org/officeDocument/2006/relationships/hyperlink" Target="#'Fundos de Investimento '!C8"/><Relationship Id="rId4" Type="http://schemas.openxmlformats.org/officeDocument/2006/relationships/hyperlink" Target="#'Fundos de Investimento '!D13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317500</xdr:colOff>
      <xdr:row>0</xdr:row>
      <xdr:rowOff>0</xdr:rowOff>
    </xdr:from>
    <xdr:to>
      <xdr:col>0</xdr:col>
      <xdr:colOff>1111250</xdr:colOff>
      <xdr:row>4</xdr:row>
      <xdr:rowOff>50800</xdr:rowOff>
    </xdr:to>
    <xdr:pic>
      <xdr:nvPicPr>
        <xdr:cNvPr id="3" name="Gráfico 2" descr="Cofrinho com preenchiment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DEED09-C1EF-4A19-4FC0-7E2F55919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17500" y="0"/>
          <a:ext cx="793750" cy="793750"/>
        </a:xfrm>
        <a:prstGeom prst="rect">
          <a:avLst/>
        </a:prstGeom>
      </xdr:spPr>
    </xdr:pic>
    <xdr:clientData/>
  </xdr:twoCellAnchor>
  <xdr:twoCellAnchor>
    <xdr:from>
      <xdr:col>0</xdr:col>
      <xdr:colOff>1320800</xdr:colOff>
      <xdr:row>0</xdr:row>
      <xdr:rowOff>127000</xdr:rowOff>
    </xdr:from>
    <xdr:to>
      <xdr:col>5</xdr:col>
      <xdr:colOff>1498600</xdr:colOff>
      <xdr:row>3</xdr:row>
      <xdr:rowOff>44450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460935E2-E2F3-B929-C599-9FCA3AE15FBC}"/>
            </a:ext>
          </a:extLst>
        </xdr:cNvPr>
        <xdr:cNvSpPr txBox="1"/>
      </xdr:nvSpPr>
      <xdr:spPr>
        <a:xfrm>
          <a:off x="1320800" y="127000"/>
          <a:ext cx="7099300" cy="469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1" algn="l"/>
          <a:r>
            <a:rPr lang="pt-BR" sz="1800" b="1">
              <a:solidFill>
                <a:schemeClr val="tx1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Simulação</a:t>
          </a:r>
          <a:r>
            <a:rPr lang="pt-BR" sz="1800" b="1" baseline="0">
              <a:solidFill>
                <a:schemeClr val="tx1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 de Investimentos em Fundos Imobiliários</a:t>
          </a:r>
        </a:p>
      </xdr:txBody>
    </xdr:sp>
    <xdr:clientData/>
  </xdr:twoCellAnchor>
  <xdr:twoCellAnchor editAs="absolute">
    <xdr:from>
      <xdr:col>0</xdr:col>
      <xdr:colOff>11112</xdr:colOff>
      <xdr:row>7</xdr:row>
      <xdr:rowOff>50800</xdr:rowOff>
    </xdr:from>
    <xdr:to>
      <xdr:col>0</xdr:col>
      <xdr:colOff>1319212</xdr:colOff>
      <xdr:row>9</xdr:row>
      <xdr:rowOff>69850</xdr:rowOff>
    </xdr:to>
    <xdr:sp macro="" textlink="">
      <xdr:nvSpPr>
        <xdr:cNvPr id="8" name="Retângulo: Cantos Arredondados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FC1009-9FFC-B147-DBBE-F902344F5047}"/>
            </a:ext>
          </a:extLst>
        </xdr:cNvPr>
        <xdr:cNvSpPr/>
      </xdr:nvSpPr>
      <xdr:spPr>
        <a:xfrm>
          <a:off x="11112" y="1422400"/>
          <a:ext cx="1308100" cy="438150"/>
        </a:xfrm>
        <a:prstGeom prst="roundRect">
          <a:avLst>
            <a:gd name="adj" fmla="val 29167"/>
          </a:avLst>
        </a:prstGeom>
        <a:gradFill flip="none" rotWithShape="1">
          <a:gsLst>
            <a:gs pos="19000">
              <a:srgbClr val="B5FCCD"/>
            </a:gs>
            <a:gs pos="68000">
              <a:srgbClr val="7AC6D2"/>
            </a:gs>
          </a:gsLst>
          <a:lin ang="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dk1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+mn-cs"/>
            </a:rPr>
            <a:t>Simulação</a:t>
          </a:r>
        </a:p>
      </xdr:txBody>
    </xdr:sp>
    <xdr:clientData/>
  </xdr:twoCellAnchor>
  <xdr:twoCellAnchor>
    <xdr:from>
      <xdr:col>0</xdr:col>
      <xdr:colOff>11112</xdr:colOff>
      <xdr:row>10</xdr:row>
      <xdr:rowOff>130175</xdr:rowOff>
    </xdr:from>
    <xdr:to>
      <xdr:col>0</xdr:col>
      <xdr:colOff>1319212</xdr:colOff>
      <xdr:row>12</xdr:row>
      <xdr:rowOff>149225</xdr:rowOff>
    </xdr:to>
    <xdr:sp macro="" textlink="">
      <xdr:nvSpPr>
        <xdr:cNvPr id="10" name="Retângulo: Cantos Arredondados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3E791DD-1078-B1DB-F0D5-614A3E6585DC}"/>
            </a:ext>
          </a:extLst>
        </xdr:cNvPr>
        <xdr:cNvSpPr/>
      </xdr:nvSpPr>
      <xdr:spPr>
        <a:xfrm>
          <a:off x="11112" y="2130425"/>
          <a:ext cx="1308100" cy="438150"/>
        </a:xfrm>
        <a:prstGeom prst="roundRect">
          <a:avLst>
            <a:gd name="adj" fmla="val 29167"/>
          </a:avLst>
        </a:prstGeom>
        <a:gradFill flip="none" rotWithShape="1">
          <a:gsLst>
            <a:gs pos="19000">
              <a:srgbClr val="B5FCCD"/>
            </a:gs>
            <a:gs pos="68000">
              <a:srgbClr val="7AC6D2"/>
            </a:gs>
          </a:gsLst>
          <a:lin ang="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>
              <a:solidFill>
                <a:schemeClr val="dk1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+mn-cs"/>
            </a:rPr>
            <a:t>Portfólio</a:t>
          </a:r>
        </a:p>
      </xdr:txBody>
    </xdr:sp>
    <xdr:clientData/>
  </xdr:twoCellAnchor>
  <xdr:twoCellAnchor>
    <xdr:from>
      <xdr:col>0</xdr:col>
      <xdr:colOff>11112</xdr:colOff>
      <xdr:row>14</xdr:row>
      <xdr:rowOff>0</xdr:rowOff>
    </xdr:from>
    <xdr:to>
      <xdr:col>0</xdr:col>
      <xdr:colOff>1319212</xdr:colOff>
      <xdr:row>16</xdr:row>
      <xdr:rowOff>19050</xdr:rowOff>
    </xdr:to>
    <xdr:sp macro="" textlink="">
      <xdr:nvSpPr>
        <xdr:cNvPr id="17" name="Retângulo: Cantos Arredondados 1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EEB214D-7C5A-A229-36CB-375DF7A1A993}"/>
            </a:ext>
          </a:extLst>
        </xdr:cNvPr>
        <xdr:cNvSpPr/>
      </xdr:nvSpPr>
      <xdr:spPr>
        <a:xfrm>
          <a:off x="11112" y="2838450"/>
          <a:ext cx="1308100" cy="438150"/>
        </a:xfrm>
        <a:prstGeom prst="roundRect">
          <a:avLst>
            <a:gd name="adj" fmla="val 29167"/>
          </a:avLst>
        </a:prstGeom>
        <a:gradFill flip="none" rotWithShape="1">
          <a:gsLst>
            <a:gs pos="19000">
              <a:srgbClr val="B5FCCD"/>
            </a:gs>
            <a:gs pos="68000">
              <a:srgbClr val="7AC6D2"/>
            </a:gs>
          </a:gsLst>
          <a:lin ang="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>
              <a:solidFill>
                <a:schemeClr val="dk1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+mn-cs"/>
            </a:rPr>
            <a:t>Fundos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317500</xdr:colOff>
      <xdr:row>0</xdr:row>
      <xdr:rowOff>0</xdr:rowOff>
    </xdr:from>
    <xdr:to>
      <xdr:col>0</xdr:col>
      <xdr:colOff>1111250</xdr:colOff>
      <xdr:row>4</xdr:row>
      <xdr:rowOff>50800</xdr:rowOff>
    </xdr:to>
    <xdr:pic>
      <xdr:nvPicPr>
        <xdr:cNvPr id="20" name="Gráfico 19" descr="Cofrinho com preenchiment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DCB937-C1C5-47F0-9796-D6F32C027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17500" y="0"/>
          <a:ext cx="793750" cy="793750"/>
        </a:xfrm>
        <a:prstGeom prst="rect">
          <a:avLst/>
        </a:prstGeom>
      </xdr:spPr>
    </xdr:pic>
    <xdr:clientData/>
  </xdr:twoCellAnchor>
  <xdr:twoCellAnchor>
    <xdr:from>
      <xdr:col>0</xdr:col>
      <xdr:colOff>5556</xdr:colOff>
      <xdr:row>10</xdr:row>
      <xdr:rowOff>63500</xdr:rowOff>
    </xdr:from>
    <xdr:to>
      <xdr:col>0</xdr:col>
      <xdr:colOff>1313656</xdr:colOff>
      <xdr:row>12</xdr:row>
      <xdr:rowOff>82550</xdr:rowOff>
    </xdr:to>
    <xdr:sp macro="" textlink="">
      <xdr:nvSpPr>
        <xdr:cNvPr id="21" name="Retângulo: Cantos Arredondados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A7A408A-FF04-4E19-AE3F-6580760A90AC}"/>
            </a:ext>
          </a:extLst>
        </xdr:cNvPr>
        <xdr:cNvSpPr/>
      </xdr:nvSpPr>
      <xdr:spPr>
        <a:xfrm>
          <a:off x="5556" y="2063750"/>
          <a:ext cx="1308100" cy="438150"/>
        </a:xfrm>
        <a:prstGeom prst="roundRect">
          <a:avLst>
            <a:gd name="adj" fmla="val 29167"/>
          </a:avLst>
        </a:prstGeom>
        <a:gradFill flip="none" rotWithShape="1">
          <a:gsLst>
            <a:gs pos="19000">
              <a:srgbClr val="B5FCCD"/>
            </a:gs>
            <a:gs pos="68000">
              <a:srgbClr val="7AC6D2"/>
            </a:gs>
          </a:gsLst>
          <a:lin ang="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>
              <a:solidFill>
                <a:schemeClr val="dk1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+mn-cs"/>
            </a:rPr>
            <a:t>Portfólio</a:t>
          </a:r>
        </a:p>
      </xdr:txBody>
    </xdr:sp>
    <xdr:clientData/>
  </xdr:twoCellAnchor>
  <xdr:twoCellAnchor>
    <xdr:from>
      <xdr:col>0</xdr:col>
      <xdr:colOff>5556</xdr:colOff>
      <xdr:row>14</xdr:row>
      <xdr:rowOff>0</xdr:rowOff>
    </xdr:from>
    <xdr:to>
      <xdr:col>0</xdr:col>
      <xdr:colOff>1313656</xdr:colOff>
      <xdr:row>16</xdr:row>
      <xdr:rowOff>19050</xdr:rowOff>
    </xdr:to>
    <xdr:sp macro="" textlink="">
      <xdr:nvSpPr>
        <xdr:cNvPr id="22" name="Retângulo: Cantos Arredondados 2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BD4A6B9-CAF7-4FDB-B823-131BC7756341}"/>
            </a:ext>
          </a:extLst>
        </xdr:cNvPr>
        <xdr:cNvSpPr/>
      </xdr:nvSpPr>
      <xdr:spPr>
        <a:xfrm>
          <a:off x="5556" y="2578100"/>
          <a:ext cx="1308100" cy="387350"/>
        </a:xfrm>
        <a:prstGeom prst="roundRect">
          <a:avLst>
            <a:gd name="adj" fmla="val 29167"/>
          </a:avLst>
        </a:prstGeom>
        <a:gradFill flip="none" rotWithShape="1">
          <a:gsLst>
            <a:gs pos="19000">
              <a:srgbClr val="B5FCCD"/>
            </a:gs>
            <a:gs pos="68000">
              <a:srgbClr val="7AC6D2"/>
            </a:gs>
          </a:gsLst>
          <a:lin ang="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>
              <a:solidFill>
                <a:schemeClr val="dk1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+mn-cs"/>
            </a:rPr>
            <a:t>Fundos</a:t>
          </a:r>
        </a:p>
      </xdr:txBody>
    </xdr:sp>
    <xdr:clientData/>
  </xdr:twoCellAnchor>
  <xdr:twoCellAnchor editAs="absolute">
    <xdr:from>
      <xdr:col>0</xdr:col>
      <xdr:colOff>5556</xdr:colOff>
      <xdr:row>6</xdr:row>
      <xdr:rowOff>133350</xdr:rowOff>
    </xdr:from>
    <xdr:to>
      <xdr:col>0</xdr:col>
      <xdr:colOff>1313656</xdr:colOff>
      <xdr:row>8</xdr:row>
      <xdr:rowOff>152400</xdr:rowOff>
    </xdr:to>
    <xdr:sp macro="" textlink="">
      <xdr:nvSpPr>
        <xdr:cNvPr id="23" name="Retângulo: Cantos Arredondados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ECA538-101A-405F-A24E-4FA9E664A112}"/>
            </a:ext>
          </a:extLst>
        </xdr:cNvPr>
        <xdr:cNvSpPr/>
      </xdr:nvSpPr>
      <xdr:spPr>
        <a:xfrm>
          <a:off x="5556" y="1289050"/>
          <a:ext cx="1308100" cy="438150"/>
        </a:xfrm>
        <a:prstGeom prst="roundRect">
          <a:avLst>
            <a:gd name="adj" fmla="val 29167"/>
          </a:avLst>
        </a:prstGeom>
        <a:gradFill flip="none" rotWithShape="1">
          <a:gsLst>
            <a:gs pos="19000">
              <a:srgbClr val="B5FCCD"/>
            </a:gs>
            <a:gs pos="68000">
              <a:srgbClr val="7AC6D2"/>
            </a:gs>
          </a:gsLst>
          <a:lin ang="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dk1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+mn-cs"/>
            </a:rPr>
            <a:t>Simulação</a:t>
          </a:r>
        </a:p>
      </xdr:txBody>
    </xdr:sp>
    <xdr:clientData/>
  </xdr:twoCellAnchor>
  <xdr:twoCellAnchor editAs="absolute">
    <xdr:from>
      <xdr:col>0</xdr:col>
      <xdr:colOff>317500</xdr:colOff>
      <xdr:row>0</xdr:row>
      <xdr:rowOff>0</xdr:rowOff>
    </xdr:from>
    <xdr:to>
      <xdr:col>0</xdr:col>
      <xdr:colOff>1111250</xdr:colOff>
      <xdr:row>4</xdr:row>
      <xdr:rowOff>57150</xdr:rowOff>
    </xdr:to>
    <xdr:pic>
      <xdr:nvPicPr>
        <xdr:cNvPr id="24" name="Gráfico 23" descr="Cofrinho com preenchiment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D8C9F-8602-41EC-ACDC-5BB4877B0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17500" y="0"/>
          <a:ext cx="793750" cy="793750"/>
        </a:xfrm>
        <a:prstGeom prst="rect">
          <a:avLst/>
        </a:prstGeom>
      </xdr:spPr>
    </xdr:pic>
    <xdr:clientData/>
  </xdr:twoCellAnchor>
  <xdr:twoCellAnchor>
    <xdr:from>
      <xdr:col>0</xdr:col>
      <xdr:colOff>1320800</xdr:colOff>
      <xdr:row>0</xdr:row>
      <xdr:rowOff>127000</xdr:rowOff>
    </xdr:from>
    <xdr:to>
      <xdr:col>8</xdr:col>
      <xdr:colOff>1428750</xdr:colOff>
      <xdr:row>3</xdr:row>
      <xdr:rowOff>44450</xdr:rowOff>
    </xdr:to>
    <xdr:sp macro="" textlink="">
      <xdr:nvSpPr>
        <xdr:cNvPr id="25" name="CaixaDeTexto 24">
          <a:extLst>
            <a:ext uri="{FF2B5EF4-FFF2-40B4-BE49-F238E27FC236}">
              <a16:creationId xmlns:a16="http://schemas.microsoft.com/office/drawing/2014/main" id="{597E6F58-D48C-45A5-B3FA-96EC90B48923}"/>
            </a:ext>
          </a:extLst>
        </xdr:cNvPr>
        <xdr:cNvSpPr txBox="1"/>
      </xdr:nvSpPr>
      <xdr:spPr>
        <a:xfrm>
          <a:off x="1320800" y="127000"/>
          <a:ext cx="7677150" cy="469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1" algn="l"/>
          <a:r>
            <a:rPr lang="pt-BR" sz="1800" b="1">
              <a:solidFill>
                <a:schemeClr val="tx1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Simulação</a:t>
          </a:r>
          <a:r>
            <a:rPr lang="pt-BR" sz="1800" b="1" baseline="0">
              <a:solidFill>
                <a:schemeClr val="tx1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 de Investimentos em Fundos Imobiliários</a:t>
          </a:r>
        </a:p>
      </xdr:txBody>
    </xdr:sp>
    <xdr:clientData/>
  </xdr:twoCellAnchor>
  <xdr:twoCellAnchor>
    <xdr:from>
      <xdr:col>7</xdr:col>
      <xdr:colOff>1054100</xdr:colOff>
      <xdr:row>23</xdr:row>
      <xdr:rowOff>14961</xdr:rowOff>
    </xdr:from>
    <xdr:to>
      <xdr:col>9</xdr:col>
      <xdr:colOff>31750</xdr:colOff>
      <xdr:row>34</xdr:row>
      <xdr:rowOff>152400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FCA5C180-5839-8BF0-845B-F7EE4CD63C35}"/>
            </a:ext>
          </a:extLst>
        </xdr:cNvPr>
        <xdr:cNvGrpSpPr/>
      </xdr:nvGrpSpPr>
      <xdr:grpSpPr>
        <a:xfrm>
          <a:off x="8843433" y="4770405"/>
          <a:ext cx="2491317" cy="2183551"/>
          <a:chOff x="8864600" y="1409700"/>
          <a:chExt cx="2381250" cy="2482850"/>
        </a:xfrm>
      </xdr:grpSpPr>
      <xdr:sp macro="" textlink="">
        <xdr:nvSpPr>
          <xdr:cNvPr id="26" name="Retângulo: Cantos Arredondados 25">
            <a:extLst>
              <a:ext uri="{FF2B5EF4-FFF2-40B4-BE49-F238E27FC236}">
                <a16:creationId xmlns:a16="http://schemas.microsoft.com/office/drawing/2014/main" id="{11B389B1-1391-41DF-85B4-9E21BB7DF668}"/>
              </a:ext>
            </a:extLst>
          </xdr:cNvPr>
          <xdr:cNvSpPr/>
        </xdr:nvSpPr>
        <xdr:spPr>
          <a:xfrm>
            <a:off x="8864600" y="1409700"/>
            <a:ext cx="2381250" cy="248285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  <a:p>
            <a:pPr algn="l"/>
            <a:endParaRPr lang="pt-BR" sz="1100"/>
          </a:p>
          <a:p>
            <a:pPr lvl="0" algn="l"/>
            <a:endParaRPr lang="pt-BR" sz="1100"/>
          </a:p>
          <a:p>
            <a:pPr lvl="0" algn="ctr"/>
            <a:r>
              <a:rPr lang="pt-BR" sz="1100" b="1">
                <a:solidFill>
                  <a:schemeClr val="tx1"/>
                </a:solidFill>
                <a:latin typeface="Segoe UI" panose="020B0502040204020203" pitchFamily="34" charset="0"/>
                <a:ea typeface="Segoe UI Black" panose="020B0A02040204020203" pitchFamily="34" charset="0"/>
                <a:cs typeface="Segoe UI" panose="020B0502040204020203" pitchFamily="34" charset="0"/>
              </a:rPr>
              <a:t>Instruções</a:t>
            </a:r>
            <a:r>
              <a:rPr lang="pt-BR" sz="1100" b="1" baseline="0">
                <a:solidFill>
                  <a:schemeClr val="tx1"/>
                </a:solidFill>
                <a:latin typeface="Segoe UI" panose="020B0502040204020203" pitchFamily="34" charset="0"/>
                <a:ea typeface="Segoe UI Black" panose="020B0A02040204020203" pitchFamily="34" charset="0"/>
                <a:cs typeface="Segoe UI" panose="020B0502040204020203" pitchFamily="34" charset="0"/>
              </a:rPr>
              <a:t> de Uso:</a:t>
            </a:r>
          </a:p>
          <a:p>
            <a:pPr lvl="0" algn="l"/>
            <a:endParaRPr lang="pt-BR" sz="1100" baseline="0">
              <a:solidFill>
                <a:schemeClr val="tx1"/>
              </a:solidFill>
              <a:latin typeface="Segoe UI" panose="020B0502040204020203" pitchFamily="34" charset="0"/>
              <a:ea typeface="Segoe UI Black" panose="020B0A02040204020203" pitchFamily="34" charset="0"/>
              <a:cs typeface="Segoe UI" panose="020B0502040204020203" pitchFamily="34" charset="0"/>
            </a:endParaRPr>
          </a:p>
          <a:p>
            <a:pPr lvl="0" algn="l"/>
            <a:r>
              <a:rPr lang="pt-BR" sz="1050" baseline="0">
                <a:solidFill>
                  <a:schemeClr val="tx1"/>
                </a:solidFill>
                <a:latin typeface="Segoe UI" panose="020B0502040204020203" pitchFamily="34" charset="0"/>
                <a:ea typeface="Segoe UI Black" panose="020B0A02040204020203" pitchFamily="34" charset="0"/>
                <a:cs typeface="Segoe UI" panose="020B0502040204020203" pitchFamily="34" charset="0"/>
              </a:rPr>
              <a:t>Completar a tabela, somente um TAB na última celular na coluna "</a:t>
            </a:r>
            <a:r>
              <a:rPr lang="pt-BR" sz="1050" b="1" baseline="0">
                <a:solidFill>
                  <a:schemeClr val="tx1"/>
                </a:solidFill>
                <a:latin typeface="Segoe UI" panose="020B0502040204020203" pitchFamily="34" charset="0"/>
                <a:ea typeface="Segoe UI Black" panose="020B0A02040204020203" pitchFamily="34" charset="0"/>
                <a:cs typeface="Segoe UI" panose="020B0502040204020203" pitchFamily="34" charset="0"/>
              </a:rPr>
              <a:t>VALOR DO DIVIDENDO</a:t>
            </a:r>
            <a:r>
              <a:rPr lang="pt-BR" sz="1050" baseline="0">
                <a:solidFill>
                  <a:schemeClr val="tx1"/>
                </a:solidFill>
                <a:latin typeface="Segoe UI" panose="020B0502040204020203" pitchFamily="34" charset="0"/>
                <a:ea typeface="Segoe UI Black" panose="020B0A02040204020203" pitchFamily="34" charset="0"/>
                <a:cs typeface="Segoe UI" panose="020B0502040204020203" pitchFamily="34" charset="0"/>
              </a:rPr>
              <a:t>" fará com que a tabela creça 1 linha.</a:t>
            </a:r>
          </a:p>
        </xdr:txBody>
      </xdr:sp>
      <xdr:pic>
        <xdr:nvPicPr>
          <xdr:cNvPr id="27" name="Gráfico 26" descr="Aviso estrutura de tópicos">
            <a:extLst>
              <a:ext uri="{FF2B5EF4-FFF2-40B4-BE49-F238E27FC236}">
                <a16:creationId xmlns:a16="http://schemas.microsoft.com/office/drawing/2014/main" id="{9286C3F6-C410-42A2-887D-4E1701481D0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96DAC541-7B7A-43D3-8B79-37D633B846F1}">
                <asvg:svgBlip xmlns:asvg="http://schemas.microsoft.com/office/drawing/2016/SVG/main" r:embed="rId7"/>
              </a:ext>
            </a:extLst>
          </a:blip>
          <a:stretch>
            <a:fillRect/>
          </a:stretch>
        </xdr:blipFill>
        <xdr:spPr>
          <a:xfrm flipH="1">
            <a:off x="9861386" y="1487280"/>
            <a:ext cx="519661" cy="444610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317500</xdr:colOff>
      <xdr:row>0</xdr:row>
      <xdr:rowOff>0</xdr:rowOff>
    </xdr:from>
    <xdr:to>
      <xdr:col>0</xdr:col>
      <xdr:colOff>1111250</xdr:colOff>
      <xdr:row>4</xdr:row>
      <xdr:rowOff>50800</xdr:rowOff>
    </xdr:to>
    <xdr:pic>
      <xdr:nvPicPr>
        <xdr:cNvPr id="2" name="Gráfico 1" descr="Cofrinho com preenchiment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92A11A-4ACF-41A8-83EA-5942D20F8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17500" y="0"/>
          <a:ext cx="793750" cy="787400"/>
        </a:xfrm>
        <a:prstGeom prst="rect">
          <a:avLst/>
        </a:prstGeom>
      </xdr:spPr>
    </xdr:pic>
    <xdr:clientData/>
  </xdr:twoCellAnchor>
  <xdr:twoCellAnchor>
    <xdr:from>
      <xdr:col>0</xdr:col>
      <xdr:colOff>317500</xdr:colOff>
      <xdr:row>0</xdr:row>
      <xdr:rowOff>0</xdr:rowOff>
    </xdr:from>
    <xdr:to>
      <xdr:col>0</xdr:col>
      <xdr:colOff>1111250</xdr:colOff>
      <xdr:row>4</xdr:row>
      <xdr:rowOff>50800</xdr:rowOff>
    </xdr:to>
    <xdr:pic>
      <xdr:nvPicPr>
        <xdr:cNvPr id="3" name="Gráfico 2" descr="Cofrinho com preenchiment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92AAE4-0DC3-4A69-8975-501969EE5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17500" y="0"/>
          <a:ext cx="793750" cy="787400"/>
        </a:xfrm>
        <a:prstGeom prst="rect">
          <a:avLst/>
        </a:prstGeom>
      </xdr:spPr>
    </xdr:pic>
    <xdr:clientData/>
  </xdr:twoCellAnchor>
  <xdr:twoCellAnchor>
    <xdr:from>
      <xdr:col>0</xdr:col>
      <xdr:colOff>317500</xdr:colOff>
      <xdr:row>0</xdr:row>
      <xdr:rowOff>0</xdr:rowOff>
    </xdr:from>
    <xdr:to>
      <xdr:col>0</xdr:col>
      <xdr:colOff>1111250</xdr:colOff>
      <xdr:row>4</xdr:row>
      <xdr:rowOff>50800</xdr:rowOff>
    </xdr:to>
    <xdr:pic>
      <xdr:nvPicPr>
        <xdr:cNvPr id="4" name="Gráfico 3" descr="Cofrinho com preenchiment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F33E59-74C4-4C85-90B0-3A1095879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17500" y="0"/>
          <a:ext cx="793750" cy="787400"/>
        </a:xfrm>
        <a:prstGeom prst="rect">
          <a:avLst/>
        </a:prstGeom>
      </xdr:spPr>
    </xdr:pic>
    <xdr:clientData/>
  </xdr:twoCellAnchor>
  <xdr:twoCellAnchor>
    <xdr:from>
      <xdr:col>0</xdr:col>
      <xdr:colOff>2778</xdr:colOff>
      <xdr:row>10</xdr:row>
      <xdr:rowOff>117475</xdr:rowOff>
    </xdr:from>
    <xdr:to>
      <xdr:col>0</xdr:col>
      <xdr:colOff>1310878</xdr:colOff>
      <xdr:row>12</xdr:row>
      <xdr:rowOff>136525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063D665-B3FD-44E1-A52B-A3A7F2E51D7C}"/>
            </a:ext>
          </a:extLst>
        </xdr:cNvPr>
        <xdr:cNvSpPr/>
      </xdr:nvSpPr>
      <xdr:spPr>
        <a:xfrm>
          <a:off x="2778" y="1952625"/>
          <a:ext cx="1308100" cy="387350"/>
        </a:xfrm>
        <a:prstGeom prst="roundRect">
          <a:avLst>
            <a:gd name="adj" fmla="val 29167"/>
          </a:avLst>
        </a:prstGeom>
        <a:gradFill flip="none" rotWithShape="1">
          <a:gsLst>
            <a:gs pos="19000">
              <a:srgbClr val="B5FCCD"/>
            </a:gs>
            <a:gs pos="68000">
              <a:srgbClr val="7AC6D2"/>
            </a:gs>
          </a:gsLst>
          <a:lin ang="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>
              <a:solidFill>
                <a:schemeClr val="dk1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+mn-cs"/>
            </a:rPr>
            <a:t>Portfólio</a:t>
          </a:r>
        </a:p>
      </xdr:txBody>
    </xdr:sp>
    <xdr:clientData/>
  </xdr:twoCellAnchor>
  <xdr:twoCellAnchor>
    <xdr:from>
      <xdr:col>0</xdr:col>
      <xdr:colOff>2778</xdr:colOff>
      <xdr:row>14</xdr:row>
      <xdr:rowOff>0</xdr:rowOff>
    </xdr:from>
    <xdr:to>
      <xdr:col>0</xdr:col>
      <xdr:colOff>1310878</xdr:colOff>
      <xdr:row>16</xdr:row>
      <xdr:rowOff>19050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A450425-3F32-4AF9-8F3C-84FD88363F9D}"/>
            </a:ext>
          </a:extLst>
        </xdr:cNvPr>
        <xdr:cNvSpPr/>
      </xdr:nvSpPr>
      <xdr:spPr>
        <a:xfrm>
          <a:off x="2778" y="2571750"/>
          <a:ext cx="1308100" cy="387350"/>
        </a:xfrm>
        <a:prstGeom prst="roundRect">
          <a:avLst>
            <a:gd name="adj" fmla="val 29167"/>
          </a:avLst>
        </a:prstGeom>
        <a:gradFill flip="none" rotWithShape="1">
          <a:gsLst>
            <a:gs pos="19000">
              <a:srgbClr val="B5FCCD"/>
            </a:gs>
            <a:gs pos="68000">
              <a:srgbClr val="7AC6D2"/>
            </a:gs>
          </a:gsLst>
          <a:lin ang="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>
              <a:solidFill>
                <a:schemeClr val="dk1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+mn-cs"/>
            </a:rPr>
            <a:t>Fundos</a:t>
          </a:r>
        </a:p>
      </xdr:txBody>
    </xdr:sp>
    <xdr:clientData/>
  </xdr:twoCellAnchor>
  <xdr:twoCellAnchor editAs="absolute">
    <xdr:from>
      <xdr:col>0</xdr:col>
      <xdr:colOff>0</xdr:colOff>
      <xdr:row>7</xdr:row>
      <xdr:rowOff>0</xdr:rowOff>
    </xdr:from>
    <xdr:to>
      <xdr:col>0</xdr:col>
      <xdr:colOff>1308100</xdr:colOff>
      <xdr:row>9</xdr:row>
      <xdr:rowOff>69850</xdr:rowOff>
    </xdr:to>
    <xdr:sp macro="" textlink="">
      <xdr:nvSpPr>
        <xdr:cNvPr id="7" name="Retângulo: Cantos Arredondados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E4F4AF-0007-452B-9B06-1CCF4E7DCFEF}"/>
            </a:ext>
          </a:extLst>
        </xdr:cNvPr>
        <xdr:cNvSpPr/>
      </xdr:nvSpPr>
      <xdr:spPr>
        <a:xfrm>
          <a:off x="0" y="1289050"/>
          <a:ext cx="1308100" cy="438150"/>
        </a:xfrm>
        <a:prstGeom prst="roundRect">
          <a:avLst>
            <a:gd name="adj" fmla="val 29167"/>
          </a:avLst>
        </a:prstGeom>
        <a:gradFill flip="none" rotWithShape="1">
          <a:gsLst>
            <a:gs pos="19000">
              <a:srgbClr val="B5FCCD"/>
            </a:gs>
            <a:gs pos="68000">
              <a:srgbClr val="7AC6D2"/>
            </a:gs>
          </a:gsLst>
          <a:lin ang="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dk1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+mn-cs"/>
            </a:rPr>
            <a:t>Simulação</a:t>
          </a:r>
        </a:p>
      </xdr:txBody>
    </xdr:sp>
    <xdr:clientData/>
  </xdr:twoCellAnchor>
  <xdr:twoCellAnchor>
    <xdr:from>
      <xdr:col>0</xdr:col>
      <xdr:colOff>317500</xdr:colOff>
      <xdr:row>0</xdr:row>
      <xdr:rowOff>0</xdr:rowOff>
    </xdr:from>
    <xdr:to>
      <xdr:col>0</xdr:col>
      <xdr:colOff>1111250</xdr:colOff>
      <xdr:row>4</xdr:row>
      <xdr:rowOff>50800</xdr:rowOff>
    </xdr:to>
    <xdr:pic>
      <xdr:nvPicPr>
        <xdr:cNvPr id="8" name="Gráfico 7" descr="Cofrinho com preenchiment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C3A6D9-E706-4A1C-B4D0-FF8BA7F6C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17500" y="0"/>
          <a:ext cx="793750" cy="787400"/>
        </a:xfrm>
        <a:prstGeom prst="rect">
          <a:avLst/>
        </a:prstGeom>
      </xdr:spPr>
    </xdr:pic>
    <xdr:clientData/>
  </xdr:twoCellAnchor>
  <xdr:twoCellAnchor>
    <xdr:from>
      <xdr:col>0</xdr:col>
      <xdr:colOff>317500</xdr:colOff>
      <xdr:row>0</xdr:row>
      <xdr:rowOff>0</xdr:rowOff>
    </xdr:from>
    <xdr:to>
      <xdr:col>0</xdr:col>
      <xdr:colOff>1111250</xdr:colOff>
      <xdr:row>4</xdr:row>
      <xdr:rowOff>50800</xdr:rowOff>
    </xdr:to>
    <xdr:pic>
      <xdr:nvPicPr>
        <xdr:cNvPr id="9" name="Gráfico 8" descr="Cofrinho com preenchiment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BA1ECA-565B-446B-A3F2-3B4B19A53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17500" y="0"/>
          <a:ext cx="793750" cy="787400"/>
        </a:xfrm>
        <a:prstGeom prst="rect">
          <a:avLst/>
        </a:prstGeom>
      </xdr:spPr>
    </xdr:pic>
    <xdr:clientData/>
  </xdr:twoCellAnchor>
  <xdr:twoCellAnchor>
    <xdr:from>
      <xdr:col>0</xdr:col>
      <xdr:colOff>1320800</xdr:colOff>
      <xdr:row>0</xdr:row>
      <xdr:rowOff>127000</xdr:rowOff>
    </xdr:from>
    <xdr:to>
      <xdr:col>9</xdr:col>
      <xdr:colOff>133350</xdr:colOff>
      <xdr:row>3</xdr:row>
      <xdr:rowOff>44450</xdr:rowOff>
    </xdr:to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8BF18934-31A4-419A-81D5-2B920487CCFD}"/>
            </a:ext>
          </a:extLst>
        </xdr:cNvPr>
        <xdr:cNvSpPr txBox="1"/>
      </xdr:nvSpPr>
      <xdr:spPr>
        <a:xfrm>
          <a:off x="1320800" y="127000"/>
          <a:ext cx="5124450" cy="469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1" algn="l"/>
          <a:r>
            <a:rPr lang="pt-BR" sz="1800" b="1">
              <a:solidFill>
                <a:schemeClr val="tx1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Simulação</a:t>
          </a:r>
          <a:r>
            <a:rPr lang="pt-BR" sz="1800" b="1" baseline="0">
              <a:solidFill>
                <a:schemeClr val="tx1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 de Investimentos em Fundos Imobiliários</a:t>
          </a:r>
        </a:p>
      </xdr:txBody>
    </xdr:sp>
    <xdr:clientData/>
  </xdr:twoCellAnchor>
  <xdr:twoCellAnchor>
    <xdr:from>
      <xdr:col>0</xdr:col>
      <xdr:colOff>317500</xdr:colOff>
      <xdr:row>0</xdr:row>
      <xdr:rowOff>0</xdr:rowOff>
    </xdr:from>
    <xdr:to>
      <xdr:col>0</xdr:col>
      <xdr:colOff>1111250</xdr:colOff>
      <xdr:row>4</xdr:row>
      <xdr:rowOff>50800</xdr:rowOff>
    </xdr:to>
    <xdr:pic>
      <xdr:nvPicPr>
        <xdr:cNvPr id="11" name="Gráfico 10" descr="Cofrinho com preenchiment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121E98-EADD-428F-9D7D-15137F482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17500" y="0"/>
          <a:ext cx="793750" cy="78740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6">
  <rv s="0">
    <v>https://www.bing.com/financeapi/forcetrigger?t=bvbt9c&amp;q=BVMF%3aPVBI11&amp;form=skydnc</v>
    <v>Learn more on Bing</v>
  </rv>
  <rv s="1">
    <v>pt-BR</v>
    <v>bvbt9c</v>
    <v>268435456</v>
    <v>1</v>
    <v>Da plataforma Refinitiv</v>
    <v>0</v>
    <v>1</v>
    <v>FII VBI PRIME PROPERTIES CF (BVMF:PVBI11)</v>
    <v>3</v>
    <v>4</v>
    <v>Finance</v>
    <v>5</v>
    <v>91.29</v>
    <v>65.290000000000006</v>
    <v>BVMF</v>
    <v>79.81</v>
    <v>78.150000000000006</v>
    <v>B3 - Brazil Stock Exchange</v>
    <v>78.48</v>
    <v>45807.958344907405</v>
    <v>0</v>
    <v>BRL</v>
    <v>FII VBI PRIME PROPERTIES CF</v>
    <v>78.599999999999994</v>
    <v>79.69</v>
    <v>PVBI11</v>
    <v>Fundos mais negociados</v>
    <v>FII VBI PRIME PROPERTIES CF (BVMF:PVBI11)</v>
    <v>1.21</v>
    <v>1.5418000000000001E-2</v>
    <v>54391</v>
  </rv>
  <rv s="2">
    <v>1</v>
  </rv>
  <rv s="0">
    <v>https://www.bing.com/financeapi/forcetrigger?t=apmthw&amp;q=BVMF%3aJSRE11&amp;form=skydnc</v>
    <v>Learn more on Bing</v>
  </rv>
  <rv s="1">
    <v>pt-BR</v>
    <v>apmthw</v>
    <v>268435456</v>
    <v>1</v>
    <v>Da plataforma Refinitiv</v>
    <v>0</v>
    <v>1</v>
    <v>FII JS REAL ESTATE MULTIGESTAO ETF (BVMF:JSRE11)</v>
    <v>3</v>
    <v>4</v>
    <v>Finance</v>
    <v>5</v>
    <v>65.569999999999993</v>
    <v>49.59</v>
    <v>BVMF</v>
    <v>65.16</v>
    <v>64.040000000000006</v>
    <v>B3 - Brazil Stock Exchange</v>
    <v>64.599999999999994</v>
    <v>45807.958344907405</v>
    <v>3</v>
    <v>BRL</v>
    <v>FII JS REAL ESTATE MULTIGESTAO ETF</v>
    <v>64.69</v>
    <v>65</v>
    <v>JSRE11</v>
    <v>Fundos mais negociados</v>
    <v>FII JS REAL ESTATE MULTIGESTAO ETF (BVMF:JSRE11)</v>
    <v>0.4</v>
    <v>6.1919999999999996E-3</v>
    <v>24412</v>
  </rv>
  <rv s="2">
    <v>4</v>
  </rv>
  <rv s="0">
    <v>https://www.bing.com/financeapi/forcetrigger?t=bgmff2&amp;q=BVMF%3aHGRU11&amp;form=skydnc</v>
    <v>Learn more on Bing</v>
  </rv>
  <rv s="1">
    <v>pt-BR</v>
    <v>bgmff2</v>
    <v>268435456</v>
    <v>1</v>
    <v>Da plataforma Refinitiv</v>
    <v>0</v>
    <v>1</v>
    <v>CSHG RENDA URBANA FII CF (BVMF:HGRU11)</v>
    <v>3</v>
    <v>4</v>
    <v>Finance</v>
    <v>5</v>
    <v>125.99</v>
    <v>102.53</v>
    <v>BVMF</v>
    <v>123.4</v>
    <v>121.91</v>
    <v>B3 - Brazil Stock Exchange</v>
    <v>122.55</v>
    <v>45807.958344907405</v>
    <v>6</v>
    <v>BRL</v>
    <v>CSHG RENDA URBANA FII CF</v>
    <v>122.75</v>
    <v>122.5</v>
    <v>HGRU11</v>
    <v>Fundos mais negociados</v>
    <v>CSHG RENDA URBANA FII CF (BVMF:HGRU11)</v>
    <v>-0.05</v>
    <v>-4.0800000000000005E-4</v>
    <v>32960</v>
  </rv>
  <rv s="2">
    <v>7</v>
  </rv>
  <rv s="0">
    <v>https://www.bing.com/financeapi/forcetrigger?t=bt3oh7&amp;q=BVMF%3aBRCO11&amp;form=skydnc</v>
    <v>Learn more on Bing</v>
  </rv>
  <rv s="1">
    <v>pt-BR</v>
    <v>bt3oh7</v>
    <v>268435456</v>
    <v>1</v>
    <v>Da plataforma Refinitiv</v>
    <v>0</v>
    <v>1</v>
    <v>BRESCO LOGISTICA - FDO INV IMOB (BVMF:BRCO11)</v>
    <v>3</v>
    <v>4</v>
    <v>Finance</v>
    <v>5</v>
    <v>113.3</v>
    <v>89.6</v>
    <v>BVMF</v>
    <v>109.86</v>
    <v>109</v>
    <v>B3 - Brazil Stock Exchange</v>
    <v>109</v>
    <v>45807.958344907405</v>
    <v>9</v>
    <v>BRL</v>
    <v>BRESCO LOGISTICA - FDO INV IMOB</v>
    <v>109</v>
    <v>109.3</v>
    <v>BRCO11</v>
    <v>Fundos mais negociados</v>
    <v>BRESCO LOGISTICA - FDO INV IMOB (BVMF:BRCO11)</v>
    <v>0.3</v>
    <v>2.7520000000000001E-3</v>
    <v>22335</v>
  </rv>
  <rv s="2">
    <v>10</v>
  </rv>
  <rv s="0">
    <v>https://www.bing.com/financeapi/forcetrigger?t=bo1827&amp;q=BVMF%3aLVBI11&amp;form=skydnc</v>
    <v>Learn more on Bing</v>
  </rv>
  <rv s="1">
    <v>pt-BR</v>
    <v>bo1827</v>
    <v>268435456</v>
    <v>1</v>
    <v>Da plataforma Refinitiv</v>
    <v>0</v>
    <v>1</v>
    <v>FDO INV IMOB VBI LOGISTICO ETF (BVMF:LVBI11)</v>
    <v>3</v>
    <v>4</v>
    <v>Finance</v>
    <v>5</v>
    <v>108.58</v>
    <v>84.49</v>
    <v>BVMF</v>
    <v>101.88</v>
    <v>100.58</v>
    <v>B3 - Brazil Stock Exchange</v>
    <v>101.58</v>
    <v>45807.958344907405</v>
    <v>12</v>
    <v>BRL</v>
    <v>FDO INV IMOB VBI LOGISTICO ETF</v>
    <v>101.42</v>
    <v>101.58</v>
    <v>LVBI11</v>
    <v>Fundos mais negociados</v>
    <v>FDO INV IMOB VBI LOGISTICO ETF (BVMF:LVBI11)</v>
    <v>0</v>
    <v>0</v>
    <v>34059</v>
  </rv>
  <rv s="2">
    <v>13</v>
  </rv>
  <rv s="0">
    <v>https://www.bing.com/financeapi/forcetrigger?t=apnk7w&amp;q=BVMF%3aVISC11&amp;form=skydnc</v>
    <v>Learn more on Bing</v>
  </rv>
  <rv s="1">
    <v>pt-BR</v>
    <v>apnk7w</v>
    <v>268435456</v>
    <v>1</v>
    <v>Da plataforma Refinitiv</v>
    <v>0</v>
    <v>1</v>
    <v>VINCI SHOPPING CENTERS FDO INVEST IMOB CF (BVMF:VISC11)</v>
    <v>3</v>
    <v>4</v>
    <v>Finance</v>
    <v>5</v>
    <v>110.97</v>
    <v>81.849999999999994</v>
    <v>BVMF</v>
    <v>104.3</v>
    <v>102.98</v>
    <v>B3 - Brazil Stock Exchange</v>
    <v>102.98</v>
    <v>45807.958344907405</v>
    <v>15</v>
    <v>BRL</v>
    <v>VINCI SHOPPING CENTERS FDO INVEST IMOB CF</v>
    <v>103.01</v>
    <v>104.3</v>
    <v>VISC11</v>
    <v>Fundos mais negociados</v>
    <v>VINCI SHOPPING CENTERS FDO INVEST IMOB CF (BVMF:VISC11)</v>
    <v>1.32</v>
    <v>1.2818000000000001E-2</v>
    <v>32067</v>
  </rv>
  <rv s="2">
    <v>16</v>
  </rv>
  <rv s="0">
    <v>https://www.bing.com/financeapi/forcetrigger?t=apmu8m&amp;q=BVMF%3aKNCR11&amp;form=skydnc</v>
    <v>Learn more on Bing</v>
  </rv>
  <rv s="1">
    <v>pt-BR</v>
    <v>apmu8m</v>
    <v>268435456</v>
    <v>1</v>
    <v>Da plataforma Refinitiv</v>
    <v>0</v>
    <v>1</v>
    <v>FDO INV IMOB KINEA RENDIMENTOS ETF (BVMF:KNCR11)</v>
    <v>3</v>
    <v>4</v>
    <v>Finance</v>
    <v>5</v>
    <v>104.8</v>
    <v>90</v>
    <v>BVMF</v>
    <v>104.8</v>
    <v>104.16</v>
    <v>B3 - Brazil Stock Exchange</v>
    <v>104.35</v>
    <v>45807.958344907405</v>
    <v>18</v>
    <v>BRL</v>
    <v>FDO INV IMOB KINEA RENDIMENTOS ETF</v>
    <v>104.37</v>
    <v>104.62</v>
    <v>KNCR11</v>
    <v>Fundos mais negociados</v>
    <v>FDO INV IMOB KINEA RENDIMENTOS ETF (BVMF:KNCR11)</v>
    <v>0.27</v>
    <v>2.5869999999999999E-3</v>
    <v>120194</v>
  </rv>
  <rv s="2">
    <v>19</v>
  </rv>
  <rv s="0">
    <v>https://www.bing.com/financeapi/forcetrigger?t=bt6vk2&amp;q=BVMF%3aMCCI11&amp;form=skydnc</v>
    <v>Learn more on Bing</v>
  </rv>
  <rv s="1">
    <v>pt-BR</v>
    <v>bt6vk2</v>
    <v>268435456</v>
    <v>1</v>
    <v>Da plataforma Refinitiv</v>
    <v>0</v>
    <v>1</v>
    <v>FDO INV. MAUA CAPITAL RECEBIVEIS IMOB. - FII ETF (BVMF:MCCI11)</v>
    <v>3</v>
    <v>4</v>
    <v>Finance</v>
    <v>5</v>
    <v>85.86</v>
    <v>66.319999999999993</v>
    <v>BVMF</v>
    <v>85.61</v>
    <v>84.82</v>
    <v>B3 - Brazil Stock Exchange</v>
    <v>85.5</v>
    <v>45807.958344907405</v>
    <v>21</v>
    <v>BRL</v>
    <v>FDO INV. MAUA CAPITAL RECEBIVEIS IMOB. - FII ETF</v>
    <v>85.2</v>
    <v>85.49</v>
    <v>MCCI11</v>
    <v>Fundos mais negociados</v>
    <v>FDO INV. MAUA CAPITAL RECEBIVEIS IMOB. - FII ETF (BVMF:MCCI11)</v>
    <v>-0.01</v>
    <v>-1.17E-4</v>
    <v>19324</v>
  </rv>
  <rv s="2">
    <v>22</v>
  </rv>
  <rv s="0">
    <v>https://www.bing.com/financeapi/forcetrigger?t=bjm627&amp;q=BVMF%3aRBRR11&amp;form=skydnc</v>
    <v>Learn more on Bing</v>
  </rv>
  <rv s="1">
    <v>pt-BR</v>
    <v>bjm627</v>
    <v>268435456</v>
    <v>1</v>
    <v>Da plataforma Refinitiv</v>
    <v>0</v>
    <v>1</v>
    <v>FII RBR RENDIMENTO HIGH GRADE CF (BVMF:RBRR11)</v>
    <v>3</v>
    <v>4</v>
    <v>Finance</v>
    <v>5</v>
    <v>87.97</v>
    <v>69.900000000000006</v>
    <v>BVMF</v>
    <v>87.97</v>
    <v>86.72</v>
    <v>B3 - Brazil Stock Exchange</v>
    <v>87.05</v>
    <v>45807.958344907405</v>
    <v>24</v>
    <v>BRL</v>
    <v>FII RBR RENDIMENTO HIGH GRADE CF</v>
    <v>87.1</v>
    <v>87.97</v>
    <v>RBRR11</v>
    <v>Fundos mais negociados</v>
    <v>FII RBR RENDIMENTO HIGH GRADE CF (BVMF:RBRR11)</v>
    <v>0.92</v>
    <v>1.0569E-2</v>
    <v>23377</v>
  </rv>
  <rv s="2">
    <v>25</v>
  </rv>
  <rv s="0">
    <v>https://www.bing.com/financeapi/forcetrigger?t=brxtgh&amp;q=BVMF%3aTEPP11&amp;form=skydnc</v>
    <v>Learn more on Bing</v>
  </rv>
  <rv s="1">
    <v>pt-BR</v>
    <v>brxtgh</v>
    <v>268435456</v>
    <v>1</v>
    <v>Da plataforma Refinitiv</v>
    <v>0</v>
    <v>1</v>
    <v>SDI PROPERTIES - FDO INV IMOB ETF (BVMF:TEPP11)</v>
    <v>3</v>
    <v>4</v>
    <v>Finance</v>
    <v>5</v>
    <v>89</v>
    <v>67.56</v>
    <v>BVMF</v>
    <v>83.63</v>
    <v>82.65</v>
    <v>B3 - Brazil Stock Exchange</v>
    <v>82.8</v>
    <v>45807.958344907405</v>
    <v>27</v>
    <v>BRL</v>
    <v>SDI PROPERTIES - FDO INV IMOB ETF</v>
    <v>82.98</v>
    <v>83.6</v>
    <v>TEPP11</v>
    <v>Fundos mais negociados</v>
    <v>SDI PROPERTIES - FDO INV IMOB ETF (BVMF:TEPP11)</v>
    <v>0.8</v>
    <v>9.6619999999999987E-3</v>
    <v>11653</v>
  </rv>
  <rv s="2">
    <v>28</v>
  </rv>
  <rv s="0">
    <v>https://www.bing.com/financeapi/forcetrigger?t=brziec&amp;q=BVMF%3aCVBI11&amp;form=skydnc</v>
    <v>Learn more on Bing</v>
  </rv>
  <rv s="1">
    <v>pt-BR</v>
    <v>brziec</v>
    <v>268435456</v>
    <v>1</v>
    <v>Da plataforma Refinitiv</v>
    <v>0</v>
    <v>1</v>
    <v>FDO INV IMOB VBI CRI ETF (BVMF:CVBI11)</v>
    <v>3</v>
    <v>4</v>
    <v>Finance</v>
    <v>5</v>
    <v>88.8</v>
    <v>67.739999999999995</v>
    <v>BVMF</v>
    <v>87.27</v>
    <v>86.1</v>
    <v>B3 - Brazil Stock Exchange</v>
    <v>86.46</v>
    <v>45807.958344907405</v>
    <v>30</v>
    <v>BRL</v>
    <v>FDO INV IMOB VBI CRI ETF</v>
    <v>86.6</v>
    <v>86.89</v>
    <v>CVBI11</v>
    <v>Fundos mais negociados</v>
    <v>FDO INV IMOB VBI CRI ETF (BVMF:CVBI11)</v>
    <v>0.43</v>
    <v>4.973E-3</v>
    <v>12118</v>
  </rv>
  <rv s="2">
    <v>31</v>
  </rv>
  <rv s="0">
    <v>https://www.bing.com/financeapi/forcetrigger?t=bt968m&amp;q=BVMF%3aXPCI11&amp;form=skydnc</v>
    <v>Learn more on Bing</v>
  </rv>
  <rv s="1">
    <v>pt-BR</v>
    <v>bt968m</v>
    <v>268435456</v>
    <v>1</v>
    <v>Da plataforma Refinitiv</v>
    <v>0</v>
    <v>1</v>
    <v>XP CREDITO IMOBILIARIO REIT (BVMF:XPCI11)</v>
    <v>3</v>
    <v>4</v>
    <v>Finance</v>
    <v>5</v>
    <v>81.95</v>
    <v>62.64</v>
    <v>BVMF</v>
    <v>80.3</v>
    <v>79.900000000000006</v>
    <v>B3 - Brazil Stock Exchange</v>
    <v>79.95</v>
    <v>45807.958344907405</v>
    <v>33</v>
    <v>BRL</v>
    <v>XP CREDITO IMOBILIARIO REIT</v>
    <v>80.25</v>
    <v>80.02</v>
    <v>XPCI11</v>
    <v>Fundos mais negociados</v>
    <v>XP CREDITO IMOBILIARIO REIT (BVMF:XPCI11)</v>
    <v>7.0000000000000007E-2</v>
    <v>8.7549999999999998E-4</v>
    <v>12528</v>
  </rv>
  <rv s="2">
    <v>34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breviatura do câmbio" t="s"/>
    <k n="Alto"/>
    <k n="Baixo"/>
    <k n="Bolsa" t="s"/>
    <k n="Fechamento anterior"/>
    <k n="Hora da última transação"/>
    <k n="LearnMoreOnLink" t="r"/>
    <k n="Moeda" t="s"/>
    <k n="Nome" t="s"/>
    <k n="Pendência"/>
    <k n="Preço"/>
    <k n="Símbolo do ticker" t="s"/>
    <k n="Tipo de instrumento" t="s"/>
    <k n="UniqueName" t="s"/>
    <k n="Variação"/>
    <k n="Variação (%)"/>
    <k n="Volume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31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_SubLabel</v>
      <v t="s">Preço</v>
      <v t="s">Bolsa</v>
      <v t="s">Hora da última transação</v>
      <v t="s">Símbolo do ticker</v>
      <v t="s">Abreviatura do câmbio</v>
      <v t="s">Variação</v>
      <v t="s">Variação (%)</v>
      <v t="s">Moeda</v>
      <v t="s">Fechamento anterior</v>
      <v t="s">Pendência</v>
      <v t="s">Alto</v>
      <v t="s">Baixo</v>
      <v t="s">52 semanas de alta</v>
      <v t="s">52 semanas de baixa</v>
      <v t="s">Volume</v>
      <v t="s">Tipo de instrumento</v>
      <v t="s">_Flags</v>
      <v t="s">UniqueName</v>
      <v t="s">_DisplayString</v>
      <v t="s">LearnMoreOnLink</v>
      <v t="s">%ProviderInfo</v>
    </a>
  </spbArrays>
  <spbData count="6">
    <spb s="0">
      <v>High</v>
      <v>Name</v>
      <v>Low</v>
      <v>Exchange</v>
      <v>Currency</v>
      <v>Price</v>
      <v>Volume</v>
      <v>Change</v>
      <v>Open</v>
      <v>UniqueName</v>
      <v>Change (%)</v>
      <v>%ProviderInfo</v>
      <v>LearnMoreOnLink</v>
      <v>Ticker symbol</v>
      <v>52 week high</v>
      <v>52 week low</v>
      <v>Previous close</v>
      <v>Instrument type</v>
      <v>Exchange abbreviation</v>
      <v>Last trade time</v>
    </spb>
    <spb s="1">
      <v>0</v>
      <v>Name</v>
      <v>LearnMoreOnLink</v>
    </spb>
    <spb s="2">
      <v>0</v>
      <v>0</v>
      <v>0</v>
    </spb>
    <spb s="3">
      <v>2</v>
      <v>2</v>
      <v>2</v>
    </spb>
    <spb s="4">
      <v>1</v>
      <v>2</v>
      <v>1</v>
      <v>1</v>
      <v>3</v>
      <v>1</v>
      <v>1</v>
      <v>4</v>
      <v>5</v>
      <v>1</v>
      <v>1</v>
      <v>1</v>
      <v>6</v>
    </spb>
    <spb s="5">
      <v>Atraso de 30 minutos</v>
      <v xml:space="preserve">do fechamento anterior </v>
      <v xml:space="preserve">do fechamento anterior </v>
      <v>GMT</v>
    </spb>
  </spbData>
</supportingPropertyBags>
</file>

<file path=xl/richData/rdsupportingpropertybagstructure.xml><?xml version="1.0" encoding="utf-8"?>
<spbStructures xmlns="http://schemas.microsoft.com/office/spreadsheetml/2017/richdata2" count="6">
  <s>
    <k n="Alto" t="s"/>
    <k n="Nome" t="s"/>
    <k n="Baixo" t="s"/>
    <k n="Bolsa" t="s"/>
    <k n="Moeda" t="s"/>
    <k n="Preço" t="s"/>
    <k n="Volume" t="s"/>
    <k n="Variação" t="s"/>
    <k n="Pendência" t="s"/>
    <k n="UniqueName" t="s"/>
    <k n="Variação (%)" t="s"/>
    <k n="%ProviderInfo" t="s"/>
    <k n="LearnMoreOnLink" t="s"/>
    <k n="Símbolo do ticker" t="s"/>
    <k n="52 semanas de alta" t="s"/>
    <k n="52 semanas de baixa" t="s"/>
    <k n="Fechamento anterior" t="s"/>
    <k n="Tipo de instrumento" t="s"/>
    <k n="Abreviatura do câmbio" t="s"/>
    <k n="Hora da última transação" t="s"/>
  </s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Alto" t="i"/>
    <k n="Nome" t="i"/>
    <k n="Baixo" t="i"/>
    <k n="Preço" t="i"/>
    <k n="Volume" t="i"/>
    <k n="Variação" t="i"/>
    <k n="Pendência" t="i"/>
    <k n="Variação (%)" t="i"/>
    <k n="`%EntityServiceId" t="i"/>
    <k n="52 semanas de alta" t="i"/>
    <k n="52 semanas de baixa" t="i"/>
    <k n="Fechamento anterior" t="i"/>
    <k n="Hora da última transação" t="i"/>
  </s>
  <s>
    <k n="Preço" t="s"/>
    <k n="Variação" t="s"/>
    <k n="Variação (%)" t="s"/>
    <k n="Hora da última transação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5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  <x:dxf>
      <x:numFmt numFmtId="3" formatCode="#,##0"/>
    </x:dxf>
  </dxfs>
  <richProperties>
    <rPr n="NumberFormat" t="s"/>
    <rPr n="IsTitleField" t="b"/>
  </richProperties>
  <richStyles>
    <rSty dxfid="1">
      <rpv i="0">_-[$R$-pt-BR] * #,##0.00_-;-[$R$-pt-BR] * #,##0.00_-;_-[$R$-pt-BR] * "-"??_-;_-@_-</rpv>
    </rSty>
    <rSty>
      <rpv i="1">1</rpv>
    </rSty>
    <rSty dxfid="4">
      <rpv i="0">#,##0</rpv>
    </rSty>
    <rSty dxfid="3"/>
    <rSty dxfid="0">
      <rpv i="0">0.00</rpv>
    </rSty>
    <rSty dxfid="2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43B2F5-FB81-4AF7-9E25-ED4D125342A5}" name="Tabela4" displayName="Tabela4" ref="D12:I21" totalsRowShown="0" headerRowDxfId="10" tableBorderDxfId="9">
  <autoFilter ref="D12:I21" xr:uid="{0543B2F5-FB81-4AF7-9E25-ED4D125342A5}"/>
  <tableColumns count="6">
    <tableColumn id="1" xr3:uid="{BC980AD6-F20D-429F-8FB7-5228AA29A83B}" name="Nome do Fundo" dataDxfId="8"/>
    <tableColumn id="2" xr3:uid="{761E450A-D9C8-4472-862B-B2F18AC4850F}" name="Valor da Cota" dataDxfId="7" dataCellStyle="Moeda"/>
    <tableColumn id="5" xr3:uid="{BBF335A0-43C1-4FEB-B727-2AA0707B995D}" name="Quantidade de Cotas" dataDxfId="6"/>
    <tableColumn id="3" xr3:uid="{50133317-090B-465E-BF16-DA88978BAC14}" name="Valor Investido" dataDxfId="5" dataCellStyle="Moeda">
      <calculatedColumnFormula>Tabela4[[#This Row],[Valor da Cota]]*Tabela4[[#This Row],[Quantidade de Cotas]]</calculatedColumnFormula>
    </tableColumn>
    <tableColumn id="6" xr3:uid="{555CA397-7F15-4BBA-9F1E-37141CBBEB0D}" name="Dividend Yield (% a.m)" dataDxfId="4" dataCellStyle="Moeda"/>
    <tableColumn id="4" xr3:uid="{E6CBACC8-73EA-4FC4-80C7-83DD827DC9D0}" name="Valor do Dividendo" dataDxfId="3" dataCellStyle="Moeda">
      <calculatedColumnFormula>(Tabela4[[#This Row],[Valor da Cota]]*Tabela4[[#This Row],[Dividend Yield (% a.m)]])*Tabela4[[#This Row],[Quantidade de Cotas]]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1D2FF0-1630-46FC-8166-705E55E16699}" name="Fundos" displayName="Fundos" ref="C7:F22" totalsRowShown="0">
  <autoFilter ref="C7:F22" xr:uid="{361D2FF0-1630-46FC-8166-705E55E16699}"/>
  <tableColumns count="4">
    <tableColumn id="1" xr3:uid="{8EB19251-27F9-4B8D-A1A7-C1AA6AFE2D06}" name="Fundos" dataDxfId="2" dataCellStyle="Moeda">
      <calculatedColumnFormula array="1">_FV(D8,"Símbolo do ticker",TRUE)</calculatedColumnFormula>
    </tableColumn>
    <tableColumn id="2" xr3:uid="{1EF2E244-3B1C-4709-AE36-32BF8CD39144}" name="Nome"/>
    <tableColumn id="3" xr3:uid="{51B337B0-7620-4834-AE95-4A3322994935}" name="Valor" dataDxfId="1">
      <calculatedColumnFormula array="1">_FV(D8,"Preço")</calculatedColumnFormula>
    </tableColumn>
    <tableColumn id="4" xr3:uid="{9CFD60D9-D8F7-4EFB-8B05-64A4D5BC38A0}" name="Dividend Yield (a.m)" dataDxfId="0" dataCellStyle="Porcentage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hyperlink" Target="https://conteudos.xpi.com.br/fundos-imobiliarios/top-25-fundos-imobiliari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1FF89-C1BF-4436-BD49-7A0BA02D9CC0}">
  <dimension ref="A1:K34"/>
  <sheetViews>
    <sheetView showGridLines="0" showRowColHeaders="0" tabSelected="1" zoomScaleNormal="100" workbookViewId="0">
      <selection activeCell="J9" sqref="J9"/>
    </sheetView>
  </sheetViews>
  <sheetFormatPr defaultRowHeight="14.5" x14ac:dyDescent="0.35"/>
  <cols>
    <col min="1" max="1" width="20.54296875" style="19" customWidth="1"/>
    <col min="2" max="2" width="5.54296875" customWidth="1"/>
    <col min="3" max="3" width="27.1796875" bestFit="1" customWidth="1"/>
    <col min="4" max="4" width="19.54296875" bestFit="1" customWidth="1"/>
    <col min="5" max="5" width="26.1796875" bestFit="1" customWidth="1"/>
    <col min="6" max="6" width="20.54296875" customWidth="1"/>
    <col min="7" max="7" width="18.1796875" hidden="1" customWidth="1"/>
    <col min="8" max="8" width="19.453125" hidden="1" customWidth="1"/>
    <col min="9" max="9" width="5.54296875" customWidth="1"/>
    <col min="10" max="10" width="30.1796875" customWidth="1"/>
    <col min="11" max="11" width="7.54296875" customWidth="1"/>
  </cols>
  <sheetData>
    <row r="1" spans="1:11" s="18" customFormat="1" x14ac:dyDescent="0.35"/>
    <row r="2" spans="1:11" s="18" customFormat="1" x14ac:dyDescent="0.35"/>
    <row r="3" spans="1:11" s="18" customFormat="1" x14ac:dyDescent="0.35"/>
    <row r="4" spans="1:11" s="18" customFormat="1" ht="15" thickBot="1" x14ac:dyDescent="0.4"/>
    <row r="5" spans="1:11" s="17" customFormat="1" ht="16.5" x14ac:dyDescent="0.45">
      <c r="A5" s="19"/>
      <c r="B5" s="14"/>
      <c r="C5" s="14"/>
      <c r="D5" s="14"/>
      <c r="E5" s="14"/>
      <c r="F5" s="14"/>
      <c r="G5" s="14"/>
      <c r="H5" s="14"/>
      <c r="J5" s="15">
        <f ca="1">NOW()</f>
        <v>45810.415344791669</v>
      </c>
      <c r="K5" s="16">
        <f ca="1">NOW()</f>
        <v>45810.415344791669</v>
      </c>
    </row>
    <row r="6" spans="1:11" ht="16.5" x14ac:dyDescent="0.45">
      <c r="B6" s="11"/>
      <c r="C6" s="11"/>
      <c r="D6" s="11"/>
      <c r="E6" s="11"/>
      <c r="F6" s="11"/>
      <c r="G6" s="11"/>
      <c r="H6" s="11"/>
      <c r="J6" s="13"/>
      <c r="K6" s="11"/>
    </row>
    <row r="7" spans="1:11" ht="16.5" x14ac:dyDescent="0.45">
      <c r="B7" s="11"/>
      <c r="C7" s="58" t="s">
        <v>0</v>
      </c>
      <c r="D7" s="59"/>
      <c r="E7" s="59"/>
      <c r="F7" s="60"/>
      <c r="G7" s="11"/>
      <c r="H7" s="11"/>
      <c r="I7" s="11"/>
      <c r="J7" s="11"/>
      <c r="K7" s="11"/>
    </row>
    <row r="8" spans="1:11" ht="16.5" x14ac:dyDescent="0.45">
      <c r="B8" s="11"/>
      <c r="C8" s="20" t="s">
        <v>1</v>
      </c>
      <c r="D8" s="21" t="s">
        <v>2</v>
      </c>
      <c r="E8" s="21" t="s">
        <v>3</v>
      </c>
      <c r="F8" s="22" t="s">
        <v>4</v>
      </c>
      <c r="G8" s="11"/>
      <c r="H8" s="11"/>
      <c r="I8" s="11"/>
      <c r="J8" s="11"/>
      <c r="K8" s="11"/>
    </row>
    <row r="9" spans="1:11" ht="16.5" x14ac:dyDescent="0.45">
      <c r="B9" s="11"/>
      <c r="C9" s="23" t="s">
        <v>5</v>
      </c>
      <c r="D9" s="24">
        <v>1</v>
      </c>
      <c r="E9" s="25">
        <f ca="1">_xlfn.XLOOKUP(C9,Fundos[Fundos],Fundos[Valor],"Valor não Encontrado",0)</f>
        <v>65</v>
      </c>
      <c r="F9" s="26">
        <f ca="1">_xlfn.XLOOKUP(C9,Fundos[Fundos],Fundos[Valor])*_xlfn.XLOOKUP(C9,Fundos[Fundos],Fundos[Dividend Yield (a.m)],"Valor não Encontrado",0)</f>
        <v>0.55466666666666664</v>
      </c>
      <c r="G9" s="11"/>
      <c r="H9" s="11"/>
      <c r="I9" s="11"/>
      <c r="J9" s="11"/>
      <c r="K9" s="11"/>
    </row>
    <row r="10" spans="1:11" ht="16.5" x14ac:dyDescent="0.45">
      <c r="B10" s="11"/>
      <c r="C10" s="23"/>
      <c r="D10" s="24">
        <v>10</v>
      </c>
      <c r="E10" s="27">
        <f ca="1">$E$9*D10</f>
        <v>650</v>
      </c>
      <c r="F10" s="26">
        <f ca="1">($E$9*_xlfn.XLOOKUP($C$9,Fundos[Fundos],Fundos[Dividend Yield (a.m)],"Valor não Encontrado",0))*D10</f>
        <v>5.5466666666666669</v>
      </c>
      <c r="G10" s="11"/>
      <c r="H10" s="11"/>
      <c r="I10" s="11"/>
      <c r="J10" s="11"/>
      <c r="K10" s="11"/>
    </row>
    <row r="11" spans="1:11" ht="16.5" x14ac:dyDescent="0.45">
      <c r="B11" s="11"/>
      <c r="C11" s="23"/>
      <c r="D11" s="24">
        <v>100</v>
      </c>
      <c r="E11" s="27">
        <f ca="1">$E$9*D11</f>
        <v>6500</v>
      </c>
      <c r="F11" s="26">
        <f ca="1">($E$9*_xlfn.XLOOKUP($C$9,Fundos[Fundos],Fundos[Dividend Yield (a.m)],"Valor não Encontrado",0))*D11</f>
        <v>55.466666666666661</v>
      </c>
      <c r="G11" s="11"/>
      <c r="H11" s="11"/>
      <c r="I11" s="11"/>
      <c r="J11" s="11"/>
      <c r="K11" s="11"/>
    </row>
    <row r="12" spans="1:11" ht="16.5" x14ac:dyDescent="0.45">
      <c r="B12" s="11"/>
      <c r="C12" s="23"/>
      <c r="D12" s="24">
        <v>1000</v>
      </c>
      <c r="E12" s="27">
        <f ca="1">$E$9*D12</f>
        <v>65000</v>
      </c>
      <c r="F12" s="26">
        <f ca="1">($E$9*_xlfn.XLOOKUP($C$9,Fundos[Fundos],Fundos[Dividend Yield (a.m)],"Valor não Encontrado",0))*D12</f>
        <v>554.66666666666663</v>
      </c>
      <c r="G12" s="11"/>
      <c r="H12" s="11"/>
      <c r="I12" s="11"/>
      <c r="J12" s="11"/>
      <c r="K12" s="11"/>
    </row>
    <row r="13" spans="1:11" ht="16.5" x14ac:dyDescent="0.45">
      <c r="B13" s="11"/>
      <c r="C13" s="11"/>
      <c r="D13" s="11"/>
      <c r="E13" s="11"/>
      <c r="F13" s="11"/>
      <c r="G13" s="11" t="s">
        <v>6</v>
      </c>
      <c r="H13" s="11"/>
      <c r="I13" s="11"/>
      <c r="J13" s="11"/>
      <c r="K13" s="11"/>
    </row>
    <row r="14" spans="1:11" ht="16.5" x14ac:dyDescent="0.45">
      <c r="B14" s="11"/>
      <c r="C14" s="55" t="s">
        <v>7</v>
      </c>
      <c r="D14" s="56"/>
      <c r="E14" s="56"/>
      <c r="F14" s="57"/>
      <c r="G14" s="12" t="e">
        <f>_xlfn.XLOOKUP(C9,#REF!,#REF!)</f>
        <v>#REF!</v>
      </c>
      <c r="H14" s="11"/>
      <c r="I14" s="11"/>
      <c r="J14" s="11"/>
      <c r="K14" s="11"/>
    </row>
    <row r="15" spans="1:11" ht="16.5" x14ac:dyDescent="0.45">
      <c r="B15" s="11"/>
      <c r="C15" s="28" t="s">
        <v>1</v>
      </c>
      <c r="D15" s="29" t="s">
        <v>2</v>
      </c>
      <c r="E15" s="29" t="s">
        <v>3</v>
      </c>
      <c r="F15" s="30" t="s">
        <v>4</v>
      </c>
      <c r="G15" s="11"/>
      <c r="H15" s="11"/>
      <c r="I15" s="11"/>
      <c r="J15" s="11"/>
      <c r="K15" s="11"/>
    </row>
    <row r="16" spans="1:11" ht="16.5" x14ac:dyDescent="0.45">
      <c r="B16" s="11"/>
      <c r="C16" s="31" t="s">
        <v>5</v>
      </c>
      <c r="D16" s="32">
        <v>1001</v>
      </c>
      <c r="E16" s="33">
        <f ca="1">_xlfn.XLOOKUP(C16,Fundos[Fundos],Fundos[Valor],"Valor não Encontrado",0)*D16</f>
        <v>65065</v>
      </c>
      <c r="F16" s="34">
        <f ca="1">IF($D$16=1,_xlfn.XLOOKUP(C16,Fundos[Fundos],Fundos[Valor])*_xlfn.XLOOKUP(C16,Fundos[Fundos],Fundos[Dividend Yield (a.m)]),_xlfn.XLOOKUP(C16,Fundos[Fundos],Fundos[Valor])*_xlfn.XLOOKUP(C16,Fundos[Fundos],Fundos[Dividend Yield (a.m)])*D16)</f>
        <v>555.22133333333329</v>
      </c>
      <c r="G16" s="11"/>
      <c r="H16" s="11"/>
      <c r="I16" s="11"/>
      <c r="J16" s="11"/>
      <c r="K16" s="11"/>
    </row>
    <row r="17" spans="2:11" ht="16.5" x14ac:dyDescent="0.45"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2:11" ht="16.5" x14ac:dyDescent="0.45"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2:11" ht="16.5" customHeight="1" x14ac:dyDescent="0.45">
      <c r="B19" s="11"/>
      <c r="D19" s="11"/>
      <c r="E19" s="11"/>
      <c r="F19" s="11"/>
      <c r="G19" s="11"/>
      <c r="H19" s="11"/>
      <c r="I19" s="11"/>
      <c r="J19" s="11"/>
      <c r="K19" s="11"/>
    </row>
    <row r="20" spans="2:11" ht="16.5" x14ac:dyDescent="0.45">
      <c r="C20" s="11" t="s">
        <v>8</v>
      </c>
      <c r="G20" t="s">
        <v>6</v>
      </c>
      <c r="H20" t="s">
        <v>9</v>
      </c>
    </row>
    <row r="21" spans="2:11" ht="16.5" x14ac:dyDescent="0.45">
      <c r="C21" s="11" t="s">
        <v>10</v>
      </c>
      <c r="G21" s="3" t="e">
        <f>_xlfn.XLOOKUP(C16,#REF!,#REF!)</f>
        <v>#REF!</v>
      </c>
      <c r="H21" s="4" t="e">
        <f>_xlfn.XLOOKUP(C16,#REF!,#REF!,"Valor não Encontrado",0)</f>
        <v>#REF!</v>
      </c>
    </row>
    <row r="25" spans="2:11" x14ac:dyDescent="0.35">
      <c r="G25" s="7" t="s">
        <v>6</v>
      </c>
      <c r="H25" s="8" t="s">
        <v>9</v>
      </c>
    </row>
    <row r="26" spans="2:11" x14ac:dyDescent="0.35">
      <c r="G26" s="9" t="e">
        <f>_xlfn.XLOOKUP('Simule uma Compra'!D13,#REF!,#REF!,"",0)</f>
        <v>#REF!</v>
      </c>
      <c r="H26" s="10" t="e">
        <f>_xlfn.XLOOKUP('Simule uma Compra'!D13,#REF!,#REF!,"Valor não Encontrado",0)</f>
        <v>#REF!</v>
      </c>
    </row>
    <row r="27" spans="2:11" x14ac:dyDescent="0.35">
      <c r="G27" s="9" t="e">
        <f>_xlfn.XLOOKUP('Simule uma Compra'!D14,#REF!,#REF!,"",0)</f>
        <v>#REF!</v>
      </c>
      <c r="H27" s="10" t="e">
        <f>_xlfn.XLOOKUP('Simule uma Compra'!D14,#REF!,#REF!,"Valor não Encontrado",0)</f>
        <v>#REF!</v>
      </c>
    </row>
    <row r="28" spans="2:11" x14ac:dyDescent="0.35">
      <c r="G28" s="9" t="e">
        <f>_xlfn.XLOOKUP('Simule uma Compra'!D15,#REF!,#REF!,"",0)</f>
        <v>#REF!</v>
      </c>
      <c r="H28" s="10" t="e">
        <f>_xlfn.XLOOKUP('Simule uma Compra'!D15,#REF!,#REF!,"Valor não Encontrado",0)</f>
        <v>#REF!</v>
      </c>
    </row>
    <row r="29" spans="2:11" x14ac:dyDescent="0.35">
      <c r="G29" s="9" t="e">
        <f>_xlfn.XLOOKUP('Simule uma Compra'!D16,#REF!,#REF!,"",0)</f>
        <v>#REF!</v>
      </c>
      <c r="H29" s="10" t="e">
        <f>_xlfn.XLOOKUP('Simule uma Compra'!D16,#REF!,#REF!,"Valor não Encontrado",0)</f>
        <v>#REF!</v>
      </c>
    </row>
    <row r="30" spans="2:11" x14ac:dyDescent="0.35">
      <c r="G30" s="9" t="e">
        <f>_xlfn.XLOOKUP('Simule uma Compra'!D17,#REF!,#REF!,"",0)</f>
        <v>#REF!</v>
      </c>
      <c r="H30" s="10" t="e">
        <f>_xlfn.XLOOKUP('Simule uma Compra'!D17,#REF!,#REF!,"Valor não Encontrado",0)</f>
        <v>#REF!</v>
      </c>
    </row>
    <row r="31" spans="2:11" x14ac:dyDescent="0.35">
      <c r="G31" s="9" t="e">
        <f>_xlfn.XLOOKUP('Simule uma Compra'!D18,#REF!,#REF!,"",0)</f>
        <v>#REF!</v>
      </c>
      <c r="H31" s="10" t="e">
        <f>_xlfn.XLOOKUP('Simule uma Compra'!D18,#REF!,#REF!,"Valor não Encontrado",0)</f>
        <v>#REF!</v>
      </c>
    </row>
    <row r="32" spans="2:11" x14ac:dyDescent="0.35">
      <c r="G32" s="9" t="e">
        <f>_xlfn.XLOOKUP('Simule uma Compra'!D19,#REF!,#REF!,"",0)</f>
        <v>#REF!</v>
      </c>
      <c r="H32" s="10" t="e">
        <f>_xlfn.XLOOKUP('Simule uma Compra'!D19,#REF!,#REF!,"Valor não Encontrado",0)</f>
        <v>#REF!</v>
      </c>
    </row>
    <row r="33" spans="7:8" x14ac:dyDescent="0.35">
      <c r="G33" s="9" t="e">
        <f>_xlfn.XLOOKUP('Simule uma Compra'!D20,#REF!,#REF!,"",0)</f>
        <v>#REF!</v>
      </c>
      <c r="H33" s="10" t="e">
        <f>_xlfn.XLOOKUP('Simule uma Compra'!D20,#REF!,#REF!,"Valor não Encontrado",0)</f>
        <v>#REF!</v>
      </c>
    </row>
    <row r="34" spans="7:8" x14ac:dyDescent="0.35">
      <c r="G34" s="9" t="e">
        <f>_xlfn.XLOOKUP('Simule uma Compra'!D21,#REF!,#REF!,"",0)</f>
        <v>#REF!</v>
      </c>
      <c r="H34" s="10" t="e">
        <f>_xlfn.XLOOKUP('Simule uma Compra'!D21,#REF!,#REF!,"Valor não Encontrado",0)</f>
        <v>#REF!</v>
      </c>
    </row>
  </sheetData>
  <mergeCells count="2">
    <mergeCell ref="C14:F14"/>
    <mergeCell ref="C7:F7"/>
  </mergeCells>
  <dataValidations count="1">
    <dataValidation type="whole" allowBlank="1" showInputMessage="1" showErrorMessage="1" errorTitle="Digite um número válido" error="Digite um número inteiro de 1 a 1.000.000." promptTitle="Digite um Número Inteiro" prompt="Digite um Número Inteiro entre 1 e 1.000.000." sqref="D16" xr:uid="{77FE3DAA-F02E-409D-96BD-FE345BC7399F}">
      <formula1>1</formula1>
      <formula2>1000000</formula2>
    </dataValidation>
  </dataValidation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FII não encontrado" error="Digite novamente o nome do FII o qual pode ser consultado na planilha &quot;Fundos Imobiliários." promptTitle="Digite um Fundo Imobiliário" prompt="Você pode confirmar o nome na planilha &quot;Fundos Imobiliários&quot;._x000a_" xr:uid="{88FF9221-489C-4812-99BA-E8894AE4568F}">
          <x14:formula1>
            <xm:f>'Fundos de Investimento '!$C$8:$C$22</xm:f>
          </x14:formula1>
          <xm:sqref>C16 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824B8-5507-4744-A3CF-67AD1152228F}">
  <dimension ref="A1:P24"/>
  <sheetViews>
    <sheetView showGridLines="0" showRowColHeaders="0" zoomScale="90" zoomScaleNormal="90" workbookViewId="0">
      <selection activeCell="F12" sqref="F12"/>
    </sheetView>
  </sheetViews>
  <sheetFormatPr defaultRowHeight="14.5" x14ac:dyDescent="0.35"/>
  <cols>
    <col min="1" max="1" width="20.54296875" style="19" customWidth="1"/>
    <col min="2" max="3" width="3.453125" customWidth="1"/>
    <col min="4" max="4" width="22.453125" bestFit="1" customWidth="1"/>
    <col min="5" max="5" width="16.1796875" bestFit="1" customWidth="1"/>
    <col min="6" max="6" width="24.54296875" customWidth="1"/>
    <col min="7" max="7" width="21" bestFit="1" customWidth="1"/>
    <col min="8" max="8" width="27.453125" bestFit="1" customWidth="1"/>
    <col min="9" max="9" width="22.81640625" bestFit="1" customWidth="1"/>
    <col min="10" max="10" width="14.7265625" bestFit="1" customWidth="1"/>
    <col min="14" max="14" width="6.54296875" customWidth="1"/>
  </cols>
  <sheetData>
    <row r="1" spans="2:16" s="18" customFormat="1" x14ac:dyDescent="0.35"/>
    <row r="2" spans="2:16" s="18" customFormat="1" x14ac:dyDescent="0.35"/>
    <row r="3" spans="2:16" s="18" customFormat="1" x14ac:dyDescent="0.35"/>
    <row r="4" spans="2:16" s="18" customFormat="1" x14ac:dyDescent="0.35"/>
    <row r="5" spans="2:16" ht="16.5" x14ac:dyDescent="0.4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2:16" ht="16.5" x14ac:dyDescent="0.45">
      <c r="B6" s="11"/>
      <c r="J6" s="11"/>
      <c r="K6" s="11"/>
      <c r="L6" s="11"/>
      <c r="M6" s="11"/>
      <c r="N6" s="11"/>
      <c r="O6" s="11"/>
      <c r="P6" s="11"/>
    </row>
    <row r="7" spans="2:16" ht="16.5" x14ac:dyDescent="0.45">
      <c r="B7" s="11"/>
      <c r="G7" s="41" t="s">
        <v>2</v>
      </c>
      <c r="H7" s="42" t="s">
        <v>11</v>
      </c>
      <c r="I7" s="43" t="s">
        <v>12</v>
      </c>
      <c r="K7" s="11"/>
      <c r="L7" s="11"/>
      <c r="M7" s="11"/>
      <c r="N7" s="11"/>
      <c r="O7" s="11"/>
      <c r="P7" s="11"/>
    </row>
    <row r="8" spans="2:16" ht="16.5" customHeight="1" x14ac:dyDescent="0.45">
      <c r="B8" s="11"/>
      <c r="G8" s="61">
        <f>SUM('Simule uma Compra'!$F$13:$F$21)</f>
        <v>3</v>
      </c>
      <c r="H8" s="67">
        <f>SUM('Simule uma Compra'!$G$13:$G$21)</f>
        <v>481.86</v>
      </c>
      <c r="I8" s="63">
        <f>SUM('Simule uma Compra'!$I$13:$I$21)</f>
        <v>4.4712899999999998</v>
      </c>
      <c r="K8" s="11"/>
      <c r="L8" s="11"/>
      <c r="M8" s="11"/>
      <c r="N8" s="11"/>
      <c r="O8" s="11"/>
      <c r="P8" s="11"/>
    </row>
    <row r="9" spans="2:16" ht="16.5" customHeight="1" x14ac:dyDescent="0.45">
      <c r="B9" s="11"/>
      <c r="G9" s="62"/>
      <c r="H9" s="67"/>
      <c r="I9" s="63"/>
      <c r="K9" s="11"/>
      <c r="L9" s="11"/>
      <c r="M9" s="11"/>
      <c r="N9" s="11"/>
      <c r="O9" s="11"/>
      <c r="P9" s="11"/>
    </row>
    <row r="10" spans="2:16" ht="16.5" x14ac:dyDescent="0.45">
      <c r="B10" s="11"/>
      <c r="J10" s="11" t="str">
        <f>IFERROR(_xlfn.XLOOKUP(D15,#REF!,#REF!),"")</f>
        <v/>
      </c>
      <c r="K10" s="11"/>
      <c r="L10" s="11"/>
      <c r="M10" s="11"/>
      <c r="N10" s="11"/>
      <c r="O10" s="11"/>
      <c r="P10" s="11"/>
    </row>
    <row r="11" spans="2:16" ht="16.5" x14ac:dyDescent="0.45">
      <c r="B11" s="11"/>
      <c r="D11" s="64" t="s">
        <v>13</v>
      </c>
      <c r="E11" s="65"/>
      <c r="F11" s="65"/>
      <c r="G11" s="65"/>
      <c r="H11" s="65"/>
      <c r="I11" s="66"/>
      <c r="J11" s="11" t="str">
        <f>IFERROR(_xlfn.XLOOKUP(D16,#REF!,#REF!),"")</f>
        <v/>
      </c>
      <c r="K11" s="11"/>
      <c r="L11" s="35"/>
      <c r="M11" s="11"/>
      <c r="N11" s="11"/>
      <c r="O11" s="11"/>
      <c r="P11" s="11"/>
    </row>
    <row r="12" spans="2:16" ht="16.5" x14ac:dyDescent="0.45">
      <c r="B12" s="11"/>
      <c r="D12" s="52" t="s">
        <v>1</v>
      </c>
      <c r="E12" s="53" t="s">
        <v>14</v>
      </c>
      <c r="F12" s="52" t="s">
        <v>2</v>
      </c>
      <c r="G12" s="52" t="s">
        <v>3</v>
      </c>
      <c r="H12" s="52" t="s">
        <v>15</v>
      </c>
      <c r="I12" s="52" t="s">
        <v>16</v>
      </c>
      <c r="J12" s="11" t="str">
        <f>IFERROR(_xlfn.XLOOKUP(D17,#REF!,#REF!),"")</f>
        <v/>
      </c>
      <c r="K12" s="11"/>
      <c r="L12" s="36"/>
      <c r="M12" s="11"/>
      <c r="N12" s="11"/>
      <c r="O12" s="11"/>
      <c r="P12" s="11"/>
    </row>
    <row r="13" spans="2:16" ht="16.5" x14ac:dyDescent="0.45">
      <c r="B13" s="11"/>
      <c r="D13" s="40" t="s">
        <v>17</v>
      </c>
      <c r="E13" s="39">
        <v>11.12</v>
      </c>
      <c r="F13" s="38">
        <v>1</v>
      </c>
      <c r="G13" s="39">
        <f>Tabela4[[#This Row],[Valor da Cota]]*Tabela4[[#This Row],[Quantidade de Cotas]]</f>
        <v>11.12</v>
      </c>
      <c r="H13" s="49">
        <v>8.3999999999999995E-3</v>
      </c>
      <c r="I13" s="39">
        <f>(Tabela4[[#This Row],[Valor da Cota]]*Tabela4[[#This Row],[Dividend Yield (% a.m)]])*Tabela4[[#This Row],[Quantidade de Cotas]]</f>
        <v>9.3407999999999991E-2</v>
      </c>
      <c r="J13" s="11" t="str">
        <f>IFERROR(_xlfn.XLOOKUP(D18,#REF!,#REF!),"")</f>
        <v/>
      </c>
      <c r="K13" s="11"/>
      <c r="L13" s="37"/>
      <c r="M13" s="11"/>
      <c r="N13" s="11"/>
      <c r="O13" s="11"/>
      <c r="P13" s="11"/>
    </row>
    <row r="14" spans="2:16" ht="16.5" x14ac:dyDescent="0.45">
      <c r="B14" s="11"/>
      <c r="D14" s="40" t="s">
        <v>18</v>
      </c>
      <c r="E14" s="39">
        <v>235.37</v>
      </c>
      <c r="F14" s="38">
        <v>2</v>
      </c>
      <c r="G14" s="39">
        <f>Tabela4[[#This Row],[Valor da Cota]]*Tabela4[[#This Row],[Quantidade de Cotas]]</f>
        <v>470.74</v>
      </c>
      <c r="H14" s="49">
        <v>9.2999999999999992E-3</v>
      </c>
      <c r="I14" s="39">
        <f>(Tabela4[[#This Row],[Valor da Cota]]*Tabela4[[#This Row],[Dividend Yield (% a.m)]])*Tabela4[[#This Row],[Quantidade de Cotas]]</f>
        <v>4.3778819999999996</v>
      </c>
      <c r="J14" s="11" t="str">
        <f>IFERROR(_xlfn.XLOOKUP(D19,#REF!,#REF!),"")</f>
        <v/>
      </c>
      <c r="K14" s="11"/>
      <c r="L14" s="11"/>
      <c r="M14" s="11"/>
      <c r="N14" s="11"/>
      <c r="O14" s="11"/>
      <c r="P14" s="11"/>
    </row>
    <row r="15" spans="2:16" ht="16.5" x14ac:dyDescent="0.45">
      <c r="B15" s="11"/>
      <c r="D15" s="40"/>
      <c r="E15" s="39"/>
      <c r="F15" s="38"/>
      <c r="G15" s="39">
        <f>Tabela4[[#This Row],[Valor da Cota]]*Tabela4[[#This Row],[Quantidade de Cotas]]</f>
        <v>0</v>
      </c>
      <c r="H15" s="49"/>
      <c r="I15" s="39">
        <f>(Tabela4[[#This Row],[Valor da Cota]]*Tabela4[[#This Row],[Dividend Yield (% a.m)]])*Tabela4[[#This Row],[Quantidade de Cotas]]</f>
        <v>0</v>
      </c>
      <c r="J15" s="11" t="str">
        <f>IFERROR(_xlfn.XLOOKUP(D20,#REF!,#REF!),"")</f>
        <v/>
      </c>
      <c r="K15" s="11"/>
      <c r="L15" s="11"/>
      <c r="M15" s="11"/>
      <c r="N15" s="11"/>
      <c r="O15" s="11"/>
      <c r="P15" s="11"/>
    </row>
    <row r="16" spans="2:16" ht="16.5" x14ac:dyDescent="0.45">
      <c r="B16" s="11"/>
      <c r="D16" s="40"/>
      <c r="E16" s="39"/>
      <c r="F16" s="38"/>
      <c r="G16" s="39">
        <f>Tabela4[[#This Row],[Valor da Cota]]*Tabela4[[#This Row],[Quantidade de Cotas]]</f>
        <v>0</v>
      </c>
      <c r="H16" s="49"/>
      <c r="I16" s="39">
        <f>(Tabela4[[#This Row],[Valor da Cota]]*Tabela4[[#This Row],[Dividend Yield (% a.m)]])*Tabela4[[#This Row],[Quantidade de Cotas]]</f>
        <v>0</v>
      </c>
      <c r="J16" s="11" t="str">
        <f>IFERROR(_xlfn.XLOOKUP(D21,#REF!,#REF!),"")</f>
        <v/>
      </c>
      <c r="K16" s="11"/>
      <c r="L16" s="11"/>
      <c r="M16" s="11"/>
      <c r="N16" s="11"/>
      <c r="O16" s="11"/>
      <c r="P16" s="11"/>
    </row>
    <row r="17" spans="2:16" ht="16.5" x14ac:dyDescent="0.45">
      <c r="B17" s="11"/>
      <c r="C17" s="11"/>
      <c r="D17" s="40"/>
      <c r="E17" s="39"/>
      <c r="F17" s="38"/>
      <c r="G17" s="39">
        <f>Tabela4[[#This Row],[Valor da Cota]]*Tabela4[[#This Row],[Quantidade de Cotas]]</f>
        <v>0</v>
      </c>
      <c r="H17" s="49"/>
      <c r="I17" s="39">
        <f>(Tabela4[[#This Row],[Valor da Cota]]*Tabela4[[#This Row],[Dividend Yield (% a.m)]])*Tabela4[[#This Row],[Quantidade de Cotas]]</f>
        <v>0</v>
      </c>
      <c r="J17" s="11"/>
      <c r="K17" s="11"/>
      <c r="L17" s="11"/>
      <c r="M17" s="11"/>
      <c r="N17" s="11"/>
      <c r="O17" s="11"/>
      <c r="P17" s="11"/>
    </row>
    <row r="18" spans="2:16" ht="16.5" x14ac:dyDescent="0.45">
      <c r="B18" s="11"/>
      <c r="C18" s="11"/>
      <c r="D18" s="40"/>
      <c r="E18" s="39"/>
      <c r="F18" s="38"/>
      <c r="G18" s="39">
        <f>Tabela4[[#This Row],[Valor da Cota]]*Tabela4[[#This Row],[Quantidade de Cotas]]</f>
        <v>0</v>
      </c>
      <c r="H18" s="49"/>
      <c r="I18" s="39">
        <f>(Tabela4[[#This Row],[Valor da Cota]]*Tabela4[[#This Row],[Dividend Yield (% a.m)]])*Tabela4[[#This Row],[Quantidade de Cotas]]</f>
        <v>0</v>
      </c>
      <c r="J18" s="11"/>
      <c r="K18" s="11"/>
      <c r="L18" s="11"/>
      <c r="M18" s="11"/>
      <c r="N18" s="11"/>
      <c r="O18" s="11"/>
      <c r="P18" s="11"/>
    </row>
    <row r="19" spans="2:16" ht="16.5" x14ac:dyDescent="0.45">
      <c r="B19" s="11"/>
      <c r="C19" s="11"/>
      <c r="D19" s="40"/>
      <c r="E19" s="39"/>
      <c r="F19" s="38"/>
      <c r="G19" s="39">
        <f>Tabela4[[#This Row],[Valor da Cota]]*Tabela4[[#This Row],[Quantidade de Cotas]]</f>
        <v>0</v>
      </c>
      <c r="H19" s="49"/>
      <c r="I19" s="39">
        <f>(Tabela4[[#This Row],[Valor da Cota]]*Tabela4[[#This Row],[Dividend Yield (% a.m)]])*Tabela4[[#This Row],[Quantidade de Cotas]]</f>
        <v>0</v>
      </c>
      <c r="J19" s="11"/>
      <c r="K19" s="11"/>
      <c r="L19" s="11"/>
      <c r="M19" s="11"/>
      <c r="N19" s="11"/>
      <c r="O19" s="11"/>
      <c r="P19" s="11"/>
    </row>
    <row r="20" spans="2:16" ht="16.5" x14ac:dyDescent="0.45">
      <c r="B20" s="11"/>
      <c r="C20" s="11"/>
      <c r="D20" s="40"/>
      <c r="E20" s="39"/>
      <c r="F20" s="38"/>
      <c r="G20" s="39">
        <f>Tabela4[[#This Row],[Valor da Cota]]*Tabela4[[#This Row],[Quantidade de Cotas]]</f>
        <v>0</v>
      </c>
      <c r="H20" s="49"/>
      <c r="I20" s="39">
        <f>(Tabela4[[#This Row],[Valor da Cota]]*Tabela4[[#This Row],[Dividend Yield (% a.m)]])*Tabela4[[#This Row],[Quantidade de Cotas]]</f>
        <v>0</v>
      </c>
      <c r="J20" s="11"/>
      <c r="K20" s="11"/>
      <c r="L20" s="11"/>
      <c r="M20" s="11"/>
      <c r="N20" s="11"/>
      <c r="O20" s="11"/>
      <c r="P20" s="11"/>
    </row>
    <row r="21" spans="2:16" ht="16.5" x14ac:dyDescent="0.45">
      <c r="B21" s="11"/>
      <c r="C21" s="11"/>
      <c r="D21" s="40"/>
      <c r="E21" s="39"/>
      <c r="F21" s="38"/>
      <c r="G21" s="39">
        <f>Tabela4[[#This Row],[Valor da Cota]]*Tabela4[[#This Row],[Quantidade de Cotas]]</f>
        <v>0</v>
      </c>
      <c r="H21" s="49"/>
      <c r="I21" s="39">
        <f>(Tabela4[[#This Row],[Valor da Cota]]*Tabela4[[#This Row],[Dividend Yield (% a.m)]])*Tabela4[[#This Row],[Quantidade de Cotas]]</f>
        <v>0</v>
      </c>
      <c r="J21" s="11"/>
      <c r="K21" s="11"/>
      <c r="L21" s="11"/>
      <c r="M21" s="11"/>
      <c r="N21" s="11"/>
      <c r="O21" s="11"/>
      <c r="P21" s="11"/>
    </row>
    <row r="22" spans="2:16" ht="16.5" x14ac:dyDescent="0.45">
      <c r="B22" s="11"/>
      <c r="C22" s="11"/>
      <c r="J22" s="11"/>
      <c r="K22" s="11"/>
      <c r="L22" s="11"/>
      <c r="M22" s="11"/>
      <c r="N22" s="11"/>
      <c r="O22" s="11"/>
      <c r="P22" s="11"/>
    </row>
    <row r="23" spans="2:16" ht="16.5" x14ac:dyDescent="0.45">
      <c r="B23" s="11"/>
      <c r="C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2:16" ht="16.5" x14ac:dyDescent="0.45">
      <c r="D24" s="11" t="s">
        <v>19</v>
      </c>
    </row>
  </sheetData>
  <mergeCells count="4">
    <mergeCell ref="G8:G9"/>
    <mergeCell ref="I8:I9"/>
    <mergeCell ref="D11:I11"/>
    <mergeCell ref="H8:H9"/>
  </mergeCells>
  <dataValidations count="3">
    <dataValidation allowBlank="1" showInputMessage="1" showErrorMessage="1" errorTitle="FII não encontrado" error="Digite novamente o nome do FII o qual pode ser consultado na planilha &quot;Fundos Imobiliários." promptTitle="Digite um Fundo Imobiliário" prompt="Você pode confirmar o nome na planilha &quot;Fundos Imobiliários&quot;._x000a_" sqref="D13:D21" xr:uid="{88FF9221-489C-4812-99BA-E8894AE4568F}"/>
    <dataValidation type="whole" allowBlank="1" showInputMessage="1" showErrorMessage="1" errorTitle="Digite um número válido" error="Digite um número inteiro de 1 a 1.000.000." promptTitle="Digite um Número Inteiro" prompt="Digite um Número Inteiro entre 1 e 1.000.000." sqref="F16:F21 F15 F13:F14" xr:uid="{77FE3DAA-F02E-409D-96BD-FE345BC7399F}">
      <formula1>1</formula1>
      <formula2>1000000</formula2>
    </dataValidation>
    <dataValidation type="decimal" allowBlank="1" showInputMessage="1" showErrorMessage="1" errorTitle="Digite um número válido" error="Digite um número inteiro de 1 a 1.000.000." promptTitle="Digite o Valor da Ação." prompt="Digite um o Valor da Ação" sqref="E13:E21" xr:uid="{ECD0FE45-7DCC-4435-8D90-B8949E80214C}">
      <formula1>1</formula1>
      <formula2>1000000</formula2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6EDB-425C-449D-8544-82EBC44E4B40}">
  <dimension ref="A1:F25"/>
  <sheetViews>
    <sheetView showGridLines="0" showRowColHeaders="0" workbookViewId="0">
      <selection activeCell="C35" sqref="C35"/>
    </sheetView>
  </sheetViews>
  <sheetFormatPr defaultRowHeight="14.5" x14ac:dyDescent="0.35"/>
  <cols>
    <col min="1" max="1" width="20.54296875" style="19" customWidth="1"/>
    <col min="3" max="3" width="9.81640625" customWidth="1"/>
    <col min="4" max="4" width="83.1796875" bestFit="1" customWidth="1"/>
    <col min="5" max="5" width="15.81640625" bestFit="1" customWidth="1"/>
    <col min="6" max="6" width="19.81640625" customWidth="1"/>
  </cols>
  <sheetData>
    <row r="1" spans="3:6" s="18" customFormat="1" x14ac:dyDescent="0.35"/>
    <row r="2" spans="3:6" s="18" customFormat="1" x14ac:dyDescent="0.35"/>
    <row r="3" spans="3:6" s="18" customFormat="1" x14ac:dyDescent="0.35"/>
    <row r="4" spans="3:6" s="18" customFormat="1" x14ac:dyDescent="0.35"/>
    <row r="6" spans="3:6" x14ac:dyDescent="0.35">
      <c r="E6" s="51" t="s">
        <v>20</v>
      </c>
      <c r="F6" s="50" t="s">
        <v>21</v>
      </c>
    </row>
    <row r="7" spans="3:6" x14ac:dyDescent="0.35">
      <c r="C7" t="s">
        <v>22</v>
      </c>
      <c r="D7" t="s">
        <v>23</v>
      </c>
      <c r="E7" t="s">
        <v>24</v>
      </c>
      <c r="F7" t="s">
        <v>25</v>
      </c>
    </row>
    <row r="8" spans="3:6" x14ac:dyDescent="0.35">
      <c r="C8" s="46" t="s">
        <v>26</v>
      </c>
      <c r="D8" t="s">
        <v>27</v>
      </c>
      <c r="E8" s="4">
        <v>100.36</v>
      </c>
      <c r="F8" s="44">
        <f>9.71/12/100</f>
        <v>8.0916666666666671E-3</v>
      </c>
    </row>
    <row r="9" spans="3:6" x14ac:dyDescent="0.35">
      <c r="C9" s="47" t="s">
        <v>28</v>
      </c>
      <c r="D9" t="e" vm="1">
        <v>#VALUE!</v>
      </c>
      <c r="E9" s="4" cm="1">
        <f t="array" aca="1" ref="E9" ca="1">_FV(D9,"Preço")</f>
        <v>79.69</v>
      </c>
      <c r="F9" s="44">
        <f>10.09/12/100</f>
        <v>8.4083333333333336E-3</v>
      </c>
    </row>
    <row r="10" spans="3:6" x14ac:dyDescent="0.35">
      <c r="C10" s="46" t="s">
        <v>29</v>
      </c>
      <c r="D10" t="s">
        <v>30</v>
      </c>
      <c r="E10" s="4">
        <v>101.65</v>
      </c>
      <c r="F10" s="44">
        <f>10.23/12/100</f>
        <v>8.5249999999999996E-3</v>
      </c>
    </row>
    <row r="11" spans="3:6" x14ac:dyDescent="0.35">
      <c r="C11" s="48" t="s">
        <v>5</v>
      </c>
      <c r="D11" t="e" vm="2">
        <v>#VALUE!</v>
      </c>
      <c r="E11" s="4" cm="1">
        <f t="array" aca="1" ref="E11" ca="1">_FV(D11,"Preço")</f>
        <v>65</v>
      </c>
      <c r="F11" s="44">
        <f>10.24/12/100</f>
        <v>8.5333333333333337E-3</v>
      </c>
    </row>
    <row r="12" spans="3:6" x14ac:dyDescent="0.35">
      <c r="C12" s="48" t="s">
        <v>31</v>
      </c>
      <c r="D12" s="45" t="e" vm="3">
        <v>#VALUE!</v>
      </c>
      <c r="E12" s="4" cm="1">
        <f t="array" aca="1" ref="E12" ca="1">_FV(D12,"Preço")</f>
        <v>122.5</v>
      </c>
      <c r="F12" s="44">
        <f>10.26/12/100</f>
        <v>8.5500000000000003E-3</v>
      </c>
    </row>
    <row r="13" spans="3:6" x14ac:dyDescent="0.35">
      <c r="C13" s="48" t="s">
        <v>32</v>
      </c>
      <c r="D13" s="45" t="e" vm="4">
        <v>#VALUE!</v>
      </c>
      <c r="E13" s="4" cm="1">
        <f t="array" aca="1" ref="E13" ca="1">_FV(D13,"Preço")</f>
        <v>109.3</v>
      </c>
      <c r="F13" s="44">
        <f>10.98/12/100</f>
        <v>9.1500000000000001E-3</v>
      </c>
    </row>
    <row r="14" spans="3:6" x14ac:dyDescent="0.35">
      <c r="C14" s="48" t="s">
        <v>33</v>
      </c>
      <c r="D14" s="45" t="e" vm="5">
        <v>#VALUE!</v>
      </c>
      <c r="E14" s="4" cm="1">
        <f t="array" aca="1" ref="E14" ca="1">_FV(D14,"Preço")</f>
        <v>101.58</v>
      </c>
      <c r="F14" s="44">
        <f>11.02/12/100</f>
        <v>9.1833333333333333E-3</v>
      </c>
    </row>
    <row r="15" spans="3:6" x14ac:dyDescent="0.35">
      <c r="C15" s="48" t="str" cm="1">
        <f t="array" aca="1" ref="C15" ca="1">_FV(D15,"Símbolo do ticker",TRUE)</f>
        <v>VISC11</v>
      </c>
      <c r="D15" t="e" vm="6">
        <v>#VALUE!</v>
      </c>
      <c r="E15" s="1" cm="1">
        <f t="array" aca="1" ref="E15" ca="1">_FV(D15,"Preço")</f>
        <v>104.3</v>
      </c>
      <c r="F15" s="44">
        <f>11.53/12/100</f>
        <v>9.6083333333333333E-3</v>
      </c>
    </row>
    <row r="16" spans="3:6" x14ac:dyDescent="0.35">
      <c r="C16" s="48" t="str" cm="1">
        <f t="array" aca="1" ref="C16" ca="1">_FV(D16,"Símbolo do ticker",TRUE)</f>
        <v>KNCR11</v>
      </c>
      <c r="D16" t="e" vm="7">
        <v>#VALUE!</v>
      </c>
      <c r="E16" s="1" cm="1">
        <f t="array" aca="1" ref="E16" ca="1">_FV(D16,"Preço")</f>
        <v>104.62</v>
      </c>
      <c r="F16" s="44">
        <f>11.55/12/100</f>
        <v>9.6249999999999999E-3</v>
      </c>
    </row>
    <row r="17" spans="3:6" x14ac:dyDescent="0.35">
      <c r="C17" s="48" t="str" cm="1">
        <f t="array" aca="1" ref="C17" ca="1">_FV(D17,"Símbolo do ticker",TRUE)</f>
        <v>MCCI11</v>
      </c>
      <c r="D17" t="e" vm="8">
        <v>#VALUE!</v>
      </c>
      <c r="E17" s="1" cm="1">
        <f t="array" aca="1" ref="E17" ca="1">_FV(D17,"Preço")</f>
        <v>85.49</v>
      </c>
      <c r="F17" s="44">
        <f>12.4/12/100</f>
        <v>1.0333333333333335E-2</v>
      </c>
    </row>
    <row r="18" spans="3:6" x14ac:dyDescent="0.35">
      <c r="C18" s="48" t="str" cm="1">
        <f t="array" aca="1" ref="C18" ca="1">_FV(D18,"Símbolo do ticker",TRUE)</f>
        <v>RBRR11</v>
      </c>
      <c r="D18" t="e" vm="9">
        <v>#VALUE!</v>
      </c>
      <c r="E18" s="1" cm="1">
        <f t="array" aca="1" ref="E18" ca="1">_FV(D18,"Preço")</f>
        <v>87.97</v>
      </c>
      <c r="F18" s="44">
        <f>12.54/12/100</f>
        <v>1.0449999999999999E-2</v>
      </c>
    </row>
    <row r="19" spans="3:6" x14ac:dyDescent="0.35">
      <c r="C19" s="46" t="s">
        <v>34</v>
      </c>
      <c r="D19" t="s">
        <v>35</v>
      </c>
      <c r="E19" s="4">
        <v>7.09</v>
      </c>
      <c r="F19" s="44">
        <f>12.62/12/100</f>
        <v>1.0516666666666665E-2</v>
      </c>
    </row>
    <row r="20" spans="3:6" x14ac:dyDescent="0.35">
      <c r="C20" s="48" t="str" cm="1">
        <f t="array" aca="1" ref="C20" ca="1">_FV(D20,"Símbolo do ticker",TRUE)</f>
        <v>TEPP11</v>
      </c>
      <c r="D20" t="e" vm="10">
        <v>#VALUE!</v>
      </c>
      <c r="E20" s="1" cm="1">
        <f t="array" aca="1" ref="E20" ca="1">_FV(D20,"Preço")</f>
        <v>83.6</v>
      </c>
      <c r="F20" s="44">
        <f>13.71/12/100</f>
        <v>1.1425000000000001E-2</v>
      </c>
    </row>
    <row r="21" spans="3:6" x14ac:dyDescent="0.35">
      <c r="C21" s="48" t="str" cm="1">
        <f t="array" aca="1" ref="C21" ca="1">_FV(D21,"Símbolo do ticker",TRUE)</f>
        <v>CVBI11</v>
      </c>
      <c r="D21" t="e" vm="11">
        <v>#VALUE!</v>
      </c>
      <c r="E21" s="1" cm="1">
        <f t="array" aca="1" ref="E21" ca="1">_FV(D21,"Preço")</f>
        <v>86.89</v>
      </c>
      <c r="F21" s="44">
        <f>13.98/12/100</f>
        <v>1.1650000000000001E-2</v>
      </c>
    </row>
    <row r="22" spans="3:6" x14ac:dyDescent="0.35">
      <c r="C22" s="48" t="str" cm="1">
        <f t="array" aca="1" ref="C22" ca="1">_FV(D22,"Símbolo do ticker",TRUE)</f>
        <v>XPCI11</v>
      </c>
      <c r="D22" t="e" vm="12">
        <v>#VALUE!</v>
      </c>
      <c r="E22" s="1" cm="1">
        <f t="array" aca="1" ref="E22" ca="1">_FV(D22,"Preço")</f>
        <v>80.02</v>
      </c>
      <c r="F22" s="44">
        <f>14.03/12/100</f>
        <v>1.1691666666666666E-2</v>
      </c>
    </row>
    <row r="25" spans="3:6" x14ac:dyDescent="0.35">
      <c r="D25" s="51" t="s">
        <v>36</v>
      </c>
      <c r="E25" s="54">
        <v>45810.378335763889</v>
      </c>
    </row>
  </sheetData>
  <hyperlinks>
    <hyperlink ref="F6" r:id="rId1" xr:uid="{117549B1-515A-4D52-AB47-676FDC554B15}"/>
  </hyperlinks>
  <pageMargins left="0.511811024" right="0.511811024" top="0.78740157499999996" bottom="0.78740157499999996" header="0.31496062000000002" footer="0.31496062000000002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6961C-1285-4B3A-A16E-782A278DF612}">
  <dimension ref="B2:L9"/>
  <sheetViews>
    <sheetView workbookViewId="0">
      <selection activeCell="F15" sqref="F15"/>
    </sheetView>
  </sheetViews>
  <sheetFormatPr defaultRowHeight="14.5" x14ac:dyDescent="0.35"/>
  <cols>
    <col min="3" max="3" width="18" bestFit="1" customWidth="1"/>
    <col min="4" max="4" width="12.54296875" bestFit="1" customWidth="1"/>
    <col min="5" max="5" width="16.1796875" bestFit="1" customWidth="1"/>
    <col min="11" max="11" width="27.1796875" bestFit="1" customWidth="1"/>
    <col min="12" max="12" width="11.54296875" bestFit="1" customWidth="1"/>
  </cols>
  <sheetData>
    <row r="2" spans="2:12" x14ac:dyDescent="0.35">
      <c r="B2" t="s">
        <v>37</v>
      </c>
      <c r="E2" t="s">
        <v>38</v>
      </c>
    </row>
    <row r="3" spans="2:12" x14ac:dyDescent="0.35">
      <c r="B3" t="s">
        <v>23</v>
      </c>
      <c r="C3" t="s">
        <v>2</v>
      </c>
      <c r="D3" t="s">
        <v>3</v>
      </c>
      <c r="E3" t="s">
        <v>4</v>
      </c>
      <c r="F3" t="s">
        <v>6</v>
      </c>
      <c r="K3" t="s">
        <v>39</v>
      </c>
      <c r="L3" t="s">
        <v>40</v>
      </c>
    </row>
    <row r="4" spans="2:12" x14ac:dyDescent="0.35">
      <c r="B4" t="s">
        <v>41</v>
      </c>
      <c r="C4">
        <f>1</f>
        <v>1</v>
      </c>
      <c r="D4" s="4" t="e">
        <f>_xlfn.XLOOKUP(B4,#REF!,#REF!,"Valor não Encontrado",0)</f>
        <v>#REF!</v>
      </c>
      <c r="E4" s="5" t="e">
        <f>_xlfn.XLOOKUP(B4,#REF!,#REF!,"Valor não Encontrado",0)</f>
        <v>#REF!</v>
      </c>
      <c r="F4" s="3" t="e">
        <f>_xlfn.XLOOKUP(B4,#REF!,#REF!)</f>
        <v>#REF!</v>
      </c>
      <c r="K4" t="s">
        <v>42</v>
      </c>
      <c r="L4" s="1">
        <v>200</v>
      </c>
    </row>
    <row r="5" spans="2:12" x14ac:dyDescent="0.35">
      <c r="C5">
        <v>10</v>
      </c>
      <c r="D5" s="6" t="e">
        <f>$D$4*C5</f>
        <v>#REF!</v>
      </c>
      <c r="E5" s="5" t="e">
        <f>($D$4*$F$4)*C5</f>
        <v>#REF!</v>
      </c>
      <c r="K5" t="s">
        <v>43</v>
      </c>
      <c r="L5" s="2">
        <v>3</v>
      </c>
    </row>
    <row r="6" spans="2:12" x14ac:dyDescent="0.35">
      <c r="C6">
        <v>100</v>
      </c>
      <c r="D6" s="6" t="e">
        <f t="shared" ref="D6:D7" si="0">$D$4*C6</f>
        <v>#REF!</v>
      </c>
      <c r="E6" s="5" t="e">
        <f t="shared" ref="E6:E7" si="1">($D$4*$F$4)*C6</f>
        <v>#REF!</v>
      </c>
      <c r="K6" t="s">
        <v>44</v>
      </c>
      <c r="L6" s="3">
        <v>0.01</v>
      </c>
    </row>
    <row r="7" spans="2:12" x14ac:dyDescent="0.35">
      <c r="C7">
        <v>1000</v>
      </c>
      <c r="D7" s="6" t="e">
        <f t="shared" si="0"/>
        <v>#REF!</v>
      </c>
      <c r="E7" s="5" t="e">
        <f t="shared" si="1"/>
        <v>#REF!</v>
      </c>
      <c r="K7" t="s">
        <v>3</v>
      </c>
      <c r="L7" s="1">
        <f>$L$4*($L$5*12)</f>
        <v>7200</v>
      </c>
    </row>
    <row r="8" spans="2:12" x14ac:dyDescent="0.35">
      <c r="K8" t="str">
        <f>_xlfn.CONCAT("Dívidendos Mensais após ",L5," anos")</f>
        <v>Dívidendos Mensais após 3 anos</v>
      </c>
      <c r="L8" s="1">
        <f>L7*L6</f>
        <v>72</v>
      </c>
    </row>
    <row r="9" spans="2:12" x14ac:dyDescent="0.35">
      <c r="K9" t="s">
        <v>45</v>
      </c>
      <c r="L9" s="4">
        <f>FV(L6,L5*12,-L4,1)</f>
        <v>8613.9449030480282</v>
      </c>
    </row>
  </sheetData>
  <dataValidations count="1">
    <dataValidation type="list" allowBlank="1" showInputMessage="1" showErrorMessage="1" errorTitle="FII não encontrado" error="Digite novamente o nome do FII o qual pode ser consultado na planilha &quot;Fundos Imobiliários." promptTitle="Digite um Fundo Imobiliário" prompt="Você pode confirmar o nome na planilha &quot;Fundos Imobiliários&quot;._x000a_" sqref="B4" xr:uid="{19F31263-3264-4C69-ADB8-1389A54A119B}">
      <formula1>#REF!</formula1>
    </dataValidation>
  </dataValidation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031801-BF4F-4734-A72B-51DC816CE6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Simulações</vt:lpstr>
      <vt:lpstr>Simule uma Compra</vt:lpstr>
      <vt:lpstr>Fundos de Investimento </vt:lpstr>
      <vt:lpstr>Cálculos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Santos</dc:creator>
  <cp:keywords/>
  <dc:description/>
  <cp:lastModifiedBy>Alex Santos</cp:lastModifiedBy>
  <cp:revision/>
  <dcterms:created xsi:type="dcterms:W3CDTF">2025-05-15T15:11:14Z</dcterms:created>
  <dcterms:modified xsi:type="dcterms:W3CDTF">2025-06-02T12:58:59Z</dcterms:modified>
  <cp:category/>
  <cp:contentStatus/>
</cp:coreProperties>
</file>