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pun/Documents/Arduino/LEMSv2/Hardware Information/"/>
    </mc:Choice>
  </mc:AlternateContent>
  <bookViews>
    <workbookView xWindow="-38400" yWindow="460" windowWidth="38400" windowHeight="21140" tabRatio="500"/>
  </bookViews>
  <sheets>
    <sheet name="Full Device" sheetId="3" r:id="rId1"/>
    <sheet name="Shield Parts" sheetId="1" r:id="rId2"/>
    <sheet name="LiCor_Leveling_Base" sheetId="5" r:id="rId3"/>
    <sheet name="MLX90614 Housing" sheetId="6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6" l="1"/>
  <c r="H8" i="6"/>
  <c r="J4" i="6"/>
  <c r="H4" i="6"/>
  <c r="F4" i="6"/>
  <c r="J11" i="6"/>
  <c r="H11" i="6"/>
  <c r="F11" i="6"/>
  <c r="D11" i="6"/>
  <c r="J10" i="6"/>
  <c r="J9" i="6"/>
  <c r="D10" i="6"/>
  <c r="F10" i="6"/>
  <c r="H10" i="6"/>
  <c r="D9" i="6"/>
  <c r="H9" i="6"/>
  <c r="F9" i="6"/>
  <c r="H7" i="6"/>
  <c r="F7" i="6"/>
  <c r="H6" i="6"/>
  <c r="F6" i="6"/>
  <c r="H5" i="6"/>
  <c r="F5" i="6"/>
  <c r="E4" i="6"/>
  <c r="K4" i="6"/>
  <c r="E5" i="6"/>
  <c r="K5" i="6"/>
  <c r="E6" i="6"/>
  <c r="K6" i="6"/>
  <c r="E7" i="6"/>
  <c r="K7" i="6"/>
  <c r="E8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H12" i="3"/>
  <c r="F12" i="3"/>
  <c r="J27" i="3"/>
  <c r="H27" i="3"/>
  <c r="F27" i="3"/>
  <c r="J26" i="3"/>
  <c r="H26" i="3"/>
  <c r="F26" i="3"/>
  <c r="D25" i="3"/>
  <c r="J25" i="3"/>
  <c r="H25" i="3"/>
  <c r="F25" i="3"/>
  <c r="J10" i="5"/>
  <c r="D4" i="5"/>
  <c r="E4" i="5"/>
  <c r="D5" i="5"/>
  <c r="E5" i="5"/>
  <c r="D6" i="5"/>
  <c r="E6" i="5"/>
  <c r="D7" i="5"/>
  <c r="E7" i="5"/>
  <c r="D8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D24" i="3"/>
  <c r="J24" i="3"/>
  <c r="H4" i="5"/>
  <c r="I4" i="5"/>
  <c r="H5" i="5"/>
  <c r="I5" i="5"/>
  <c r="H6" i="5"/>
  <c r="I6" i="5"/>
  <c r="H7" i="5"/>
  <c r="I7" i="5"/>
  <c r="H8" i="5"/>
  <c r="I8" i="5"/>
  <c r="H9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H24" i="3"/>
  <c r="F4" i="5"/>
  <c r="G4" i="5"/>
  <c r="F5" i="5"/>
  <c r="G5" i="5"/>
  <c r="F6" i="5"/>
  <c r="G6" i="5"/>
  <c r="F7" i="5"/>
  <c r="G7" i="5"/>
  <c r="F8" i="5"/>
  <c r="G8" i="5"/>
  <c r="F9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F24" i="3"/>
  <c r="J9" i="5"/>
  <c r="J8" i="5"/>
  <c r="J7" i="5"/>
  <c r="J6" i="5"/>
  <c r="J5" i="5"/>
  <c r="J4" i="5"/>
  <c r="D23" i="3"/>
  <c r="E23" i="3"/>
  <c r="J23" i="3"/>
  <c r="F23" i="3"/>
  <c r="H23" i="3"/>
  <c r="D22" i="3"/>
  <c r="J22" i="3"/>
  <c r="H22" i="3"/>
  <c r="F22" i="3"/>
  <c r="J21" i="3"/>
  <c r="H21" i="3"/>
  <c r="F21" i="3"/>
  <c r="D20" i="3"/>
  <c r="E20" i="3"/>
  <c r="J20" i="3"/>
  <c r="H20" i="3"/>
  <c r="F20" i="3"/>
  <c r="J17" i="3"/>
  <c r="J11" i="3"/>
  <c r="H11" i="3"/>
  <c r="F11" i="3"/>
  <c r="D11" i="3"/>
  <c r="J10" i="3"/>
  <c r="H10" i="3"/>
  <c r="F10" i="3"/>
  <c r="D10" i="3"/>
  <c r="J18" i="3"/>
  <c r="H18" i="3"/>
  <c r="F18" i="3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J16" i="3"/>
  <c r="H16" i="3"/>
  <c r="J15" i="3"/>
  <c r="H15" i="3"/>
  <c r="H14" i="3"/>
  <c r="F14" i="3"/>
  <c r="H13" i="3"/>
  <c r="F13" i="3"/>
  <c r="J4" i="3"/>
  <c r="K4" i="3"/>
  <c r="F5" i="3"/>
  <c r="J5" i="3"/>
  <c r="K5" i="3"/>
  <c r="F6" i="3"/>
  <c r="J6" i="3"/>
  <c r="K6" i="3"/>
  <c r="J7" i="3"/>
  <c r="K7" i="3"/>
  <c r="J8" i="3"/>
  <c r="K8" i="3"/>
  <c r="J9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D9" i="3"/>
  <c r="H9" i="3"/>
  <c r="F9" i="3"/>
  <c r="H4" i="3"/>
  <c r="F39" i="1"/>
  <c r="F38" i="1"/>
  <c r="L36" i="1"/>
  <c r="J36" i="1"/>
  <c r="H36" i="1"/>
  <c r="H8" i="3"/>
  <c r="H27" i="1"/>
  <c r="J27" i="1"/>
  <c r="L27" i="1"/>
  <c r="L19" i="1"/>
  <c r="J19" i="1"/>
  <c r="H19" i="1"/>
  <c r="K20" i="1"/>
  <c r="L20" i="1"/>
  <c r="J20" i="1"/>
  <c r="H20" i="1"/>
  <c r="K18" i="1"/>
  <c r="L18" i="1"/>
  <c r="J18" i="1"/>
  <c r="H18" i="1"/>
  <c r="H34" i="1"/>
  <c r="H35" i="1"/>
  <c r="H37" i="1"/>
  <c r="J34" i="1"/>
  <c r="J35" i="1"/>
  <c r="J37" i="1"/>
  <c r="H15" i="1"/>
  <c r="J15" i="1"/>
  <c r="L15" i="1"/>
  <c r="H16" i="1"/>
  <c r="J16" i="1"/>
  <c r="L16" i="1"/>
  <c r="K17" i="1"/>
  <c r="H17" i="1"/>
  <c r="J17" i="1"/>
  <c r="L17" i="1"/>
  <c r="H28" i="1"/>
  <c r="J28" i="1"/>
  <c r="L28" i="1"/>
  <c r="K31" i="1"/>
  <c r="K29" i="1"/>
  <c r="K12" i="1"/>
  <c r="L10" i="1"/>
  <c r="J10" i="1"/>
  <c r="H10" i="1"/>
  <c r="K11" i="1"/>
  <c r="L11" i="1"/>
  <c r="J11" i="1"/>
  <c r="H11" i="1"/>
  <c r="L7" i="1"/>
  <c r="J7" i="1"/>
  <c r="H7" i="1"/>
  <c r="J25" i="1"/>
  <c r="L25" i="1"/>
  <c r="L12" i="1"/>
  <c r="J12" i="1"/>
  <c r="H12" i="1"/>
  <c r="L9" i="1"/>
  <c r="J9" i="1"/>
  <c r="H9" i="1"/>
  <c r="L8" i="1"/>
  <c r="J8" i="1"/>
  <c r="H8" i="1"/>
  <c r="H25" i="1"/>
  <c r="H5" i="3"/>
  <c r="H6" i="3"/>
  <c r="L14" i="1"/>
  <c r="J14" i="1"/>
  <c r="H14" i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1" i="3"/>
  <c r="E22" i="3"/>
  <c r="E24" i="3"/>
  <c r="E25" i="3"/>
  <c r="E26" i="3"/>
  <c r="E27" i="3"/>
  <c r="E28" i="3"/>
  <c r="E29" i="3"/>
  <c r="E30" i="3"/>
  <c r="I4" i="3"/>
  <c r="I31" i="3"/>
  <c r="I32" i="3"/>
  <c r="G4" i="3"/>
  <c r="G31" i="3"/>
  <c r="G32" i="3"/>
  <c r="E4" i="3"/>
  <c r="E31" i="3"/>
  <c r="E32" i="3"/>
  <c r="L6" i="1"/>
  <c r="L13" i="1"/>
  <c r="L21" i="1"/>
  <c r="L22" i="1"/>
  <c r="L23" i="1"/>
  <c r="L24" i="1"/>
  <c r="L26" i="1"/>
  <c r="L29" i="1"/>
  <c r="L30" i="1"/>
  <c r="L31" i="1"/>
  <c r="L32" i="1"/>
  <c r="L33" i="1"/>
  <c r="L34" i="1"/>
  <c r="L35" i="1"/>
  <c r="L37" i="1"/>
  <c r="J6" i="1"/>
  <c r="J13" i="1"/>
  <c r="J21" i="1"/>
  <c r="J22" i="1"/>
  <c r="J23" i="1"/>
  <c r="J24" i="1"/>
  <c r="J26" i="1"/>
  <c r="J29" i="1"/>
  <c r="J30" i="1"/>
  <c r="J31" i="1"/>
  <c r="J32" i="1"/>
  <c r="J33" i="1"/>
  <c r="H6" i="1"/>
  <c r="H13" i="1"/>
  <c r="H21" i="1"/>
  <c r="H22" i="1"/>
  <c r="H23" i="1"/>
  <c r="H24" i="1"/>
  <c r="H26" i="1"/>
  <c r="H29" i="1"/>
  <c r="H30" i="1"/>
  <c r="H31" i="1"/>
  <c r="H32" i="1"/>
  <c r="H33" i="1"/>
  <c r="L4" i="1"/>
  <c r="L5" i="1"/>
  <c r="J4" i="1"/>
  <c r="J5" i="1"/>
  <c r="H4" i="1"/>
  <c r="H5" i="1"/>
  <c r="L38" i="1"/>
  <c r="L39" i="1"/>
  <c r="J38" i="1"/>
  <c r="J39" i="1"/>
  <c r="H38" i="1"/>
  <c r="H39" i="1"/>
</calcChain>
</file>

<file path=xl/sharedStrings.xml><?xml version="1.0" encoding="utf-8"?>
<sst xmlns="http://schemas.openxmlformats.org/spreadsheetml/2006/main" count="654" uniqueCount="393">
  <si>
    <t>Number</t>
  </si>
  <si>
    <t>Cost/Unit</t>
  </si>
  <si>
    <t>Source</t>
  </si>
  <si>
    <t>Link</t>
  </si>
  <si>
    <t>Ideal Cost/Unit</t>
  </si>
  <si>
    <t>Information</t>
  </si>
  <si>
    <t>Ideal Cost/10 Units</t>
  </si>
  <si>
    <t>Ideal Cost/25 Units</t>
  </si>
  <si>
    <t>Ordering</t>
  </si>
  <si>
    <t>Quantity/Board</t>
  </si>
  <si>
    <t>Package</t>
  </si>
  <si>
    <t>Prototype Cost</t>
  </si>
  <si>
    <t>Total Prototype Cost:</t>
  </si>
  <si>
    <t>Prototype Cost/Unit:</t>
  </si>
  <si>
    <t>DS3231 Real Time Clock</t>
  </si>
  <si>
    <t>Mouser</t>
  </si>
  <si>
    <t>SOIC-16</t>
  </si>
  <si>
    <t>12mm Battery Holder</t>
  </si>
  <si>
    <t>N/A</t>
  </si>
  <si>
    <t>CR1220 Battery</t>
  </si>
  <si>
    <t>Green LED</t>
  </si>
  <si>
    <t>Red LED</t>
  </si>
  <si>
    <t>SPDT Switch</t>
  </si>
  <si>
    <t>SD Card Holder</t>
  </si>
  <si>
    <t>Newark</t>
  </si>
  <si>
    <t>35R2925</t>
  </si>
  <si>
    <t>http://www.newark.com/te-connectivity/2041021-3/memory-card-connector-sd-9-position/dp/35R2925?CMP=AFC-QO1721829242?gross_price=</t>
  </si>
  <si>
    <t>Notes</t>
  </si>
  <si>
    <t>Part</t>
  </si>
  <si>
    <t>Shipping costs not included!</t>
  </si>
  <si>
    <t>2-Pin 3.5mm Screw Terminal</t>
  </si>
  <si>
    <t>3-Pin 3.5mm Screw Terminal</t>
  </si>
  <si>
    <t>Possible different source? Check footprint carefully if so</t>
  </si>
  <si>
    <t>Amazon</t>
  </si>
  <si>
    <t>https://www.amazon.com/NOCO-Battery-BLSOLAR2-Charger-Maintainer/dp/B00B7GC50Y/ref=sr_1_1?ie=UTF8&amp;qid=1469347489&amp;sr=8-1&amp;keywords=noco+solar+panel</t>
  </si>
  <si>
    <t>Noco 2.5 Watt Solar Panel</t>
  </si>
  <si>
    <t>Noco 12V 2A Regulator</t>
  </si>
  <si>
    <t>https://www.amazon.com/NOCO-GC027-12V-Flex-Regulator/dp/B00H36Y65O/ref=sr_1_fkmr1_1?ie=UTF8&amp;qid=1469347729&amp;sr=8-1-fkmr1&amp;keywords=X-Connect+12+Volt+2+Amp+Regulator</t>
  </si>
  <si>
    <t>495-TSR-1-2450</t>
  </si>
  <si>
    <t>SIP-3</t>
  </si>
  <si>
    <t>http://www.mouser.com/ProductDetail/TRACO-Power/TSR-1-2450/?qs=ckJk83FOD0XFKqda0Mzkgw%3D%3D</t>
  </si>
  <si>
    <t>Digikey</t>
  </si>
  <si>
    <t>Distributor Part Number</t>
  </si>
  <si>
    <t>PS1</t>
  </si>
  <si>
    <t>U1</t>
  </si>
  <si>
    <t>U2</t>
  </si>
  <si>
    <t>BT1</t>
  </si>
  <si>
    <t>J1</t>
  </si>
  <si>
    <t>J2</t>
  </si>
  <si>
    <t>J3</t>
  </si>
  <si>
    <t>J4, J5</t>
  </si>
  <si>
    <t>J6</t>
  </si>
  <si>
    <t>Reference Designator</t>
  </si>
  <si>
    <t>Manufacturer</t>
  </si>
  <si>
    <t>Manufacturer Part Number</t>
  </si>
  <si>
    <t>Part Description</t>
  </si>
  <si>
    <t>Place</t>
  </si>
  <si>
    <t>Yes</t>
  </si>
  <si>
    <t>SMT</t>
  </si>
  <si>
    <t>3.5mm Spacing TH</t>
  </si>
  <si>
    <t>TH = Through Hole</t>
  </si>
  <si>
    <t>SMT = Surface Mount</t>
  </si>
  <si>
    <t>TSR 1-2450</t>
  </si>
  <si>
    <t>DC/DC 5V Regulator</t>
  </si>
  <si>
    <t>TE Connectivity</t>
  </si>
  <si>
    <t>2041021-3</t>
  </si>
  <si>
    <t>DS3231SN#T&amp;R</t>
  </si>
  <si>
    <t>Maxim Integrated</t>
  </si>
  <si>
    <t>Keystone Electronics</t>
  </si>
  <si>
    <t>3000</t>
  </si>
  <si>
    <t>Sullins Connector</t>
  </si>
  <si>
    <t>C1</t>
  </si>
  <si>
    <t>ECA-1HM220</t>
  </si>
  <si>
    <t>22uF 50V Capacitor</t>
  </si>
  <si>
    <t>P5179-ND</t>
  </si>
  <si>
    <t>5mm Diam. Radial TH</t>
  </si>
  <si>
    <t>http://www.digikey.com/product-detail/en/ECA-1HM220/P5179-ND/245038?curr=usd&amp;WT.z_cid=ref_octopart_dkc_buynow&amp;site=us</t>
  </si>
  <si>
    <t>Octopart has alt. distributors</t>
  </si>
  <si>
    <t>Murata Electronics</t>
  </si>
  <si>
    <t>Traco Power</t>
  </si>
  <si>
    <t>Panasonic Electronics</t>
  </si>
  <si>
    <t>GRM21BR71H105KA12L</t>
  </si>
  <si>
    <t>1uF 50V Ceramic Capacitor</t>
  </si>
  <si>
    <t>490-4736-1-ND</t>
  </si>
  <si>
    <t>0805 (Imperial)</t>
  </si>
  <si>
    <t>http://www.digikey.com/product-detail/en/GRM21BR71H105KA12L/490-4736-1-ND/1244332?curr=usd&amp;WT.z_cid=ref_octopart_dkc_buynow&amp;site=us</t>
  </si>
  <si>
    <t>Yageo</t>
  </si>
  <si>
    <t>RC0805FR-0710KL</t>
  </si>
  <si>
    <t>10k 1% 1/8W Resistor</t>
  </si>
  <si>
    <t>311-10.0KCRCT-ND</t>
  </si>
  <si>
    <t>http://www.digikey.com/product-detail/en/RC0805FR-0710KL/311-10.0KCRCT-ND/730482?curr=usd&amp;WT.z_cid=ref_octopart_dkc_buynow&amp;site=us</t>
  </si>
  <si>
    <t>Distributor Link</t>
  </si>
  <si>
    <t>36-3000-ND</t>
  </si>
  <si>
    <t>http://www.digikey.com/product-detail/en/3000/36-3000-ND/227440?curr=usd&amp;WT.z_cid=ref_octopart_dkc_buynow&amp;site=us</t>
  </si>
  <si>
    <t>DS3231SN#T&amp;RCT-ND</t>
  </si>
  <si>
    <t>http://www.digikey.com/product-detail/en/DS3231SN%2523T%26R/DS3231SN%2523T%26RCT-ND/3894827?curr=usd&amp;WT.z_cid=ref_octopart_dkc_buynow&amp;site=us</t>
  </si>
  <si>
    <t>BMP280</t>
  </si>
  <si>
    <t>0.1" TH</t>
  </si>
  <si>
    <t>Future Expansion Connector</t>
  </si>
  <si>
    <t>No</t>
  </si>
  <si>
    <t>Fairchild Semiconductor</t>
  </si>
  <si>
    <t>BSS138</t>
  </si>
  <si>
    <t>N-Channel MOSFET</t>
  </si>
  <si>
    <t>BSS138CT-ND</t>
  </si>
  <si>
    <t>SOT-23</t>
  </si>
  <si>
    <t>http://www.digikey.com/product-detail/en/BSS138/BSS138CT-ND/244294?curr=usd&amp;WT.z_cid=ref_octopart_dkc_buynow&amp;site=us</t>
  </si>
  <si>
    <t>S1</t>
  </si>
  <si>
    <t>E-Switch</t>
  </si>
  <si>
    <t>EG1218</t>
  </si>
  <si>
    <t>612-EG1218</t>
  </si>
  <si>
    <t>2.5mm TH</t>
  </si>
  <si>
    <t>http://www.mouser.com/ProductDetail/E-Switch/EG1218/?qs=sGAEpiMZZMtHXLepoqNyVZDOWY7elTCOE4MJ3sXRkSs%3d</t>
  </si>
  <si>
    <t>CC0805KRX7R9BB104</t>
  </si>
  <si>
    <t>0.1uF 50V Ceramic Capacitor</t>
  </si>
  <si>
    <t>311-1140-1-ND</t>
  </si>
  <si>
    <t>http://www.digikey.com/product-detail/en/CC0805KRX7R9BB104/311-1140-1-ND/303050?curr=usd&amp;WT.z_cid=ref_octopart_dkc_buynow&amp;site=us</t>
  </si>
  <si>
    <t>U3</t>
  </si>
  <si>
    <t>Texas Instruments</t>
  </si>
  <si>
    <t>TLV2372IDR</t>
  </si>
  <si>
    <t>2-Channel Rail-To-Rail Op-Amp</t>
  </si>
  <si>
    <t>595-TLV2372IDR</t>
  </si>
  <si>
    <t>SOIC-8</t>
  </si>
  <si>
    <t>http://www.mouser.com/ProductDetail/Texas-Instruments/TLV2372IDR/?qs=sGAEpiMZZMtCHixnSjNA6P3Ssczg4flJu9W%2ftdqxyhc%3d</t>
  </si>
  <si>
    <t>J13</t>
  </si>
  <si>
    <t>1x3 TH Female Header</t>
  </si>
  <si>
    <t>R14</t>
  </si>
  <si>
    <t>Gain Resistor</t>
  </si>
  <si>
    <t>Not added yet</t>
  </si>
  <si>
    <t>U4</t>
  </si>
  <si>
    <t>Bosch Sensortec</t>
  </si>
  <si>
    <t>Digital Barometer</t>
  </si>
  <si>
    <t>262-BMP280</t>
  </si>
  <si>
    <t>LGA-8</t>
  </si>
  <si>
    <t>http://www.mouser.com/ProductDetail/Bosch-Sensortec/BMP280/?qs=QhAb4EtQfbUP9Z%252bCHM3Wyg%3D%3D</t>
  </si>
  <si>
    <t>C3, C5, C6</t>
  </si>
  <si>
    <t>MMBT3904</t>
  </si>
  <si>
    <t>NPN Transistor</t>
  </si>
  <si>
    <t>MMBT3904FSCT-ND</t>
  </si>
  <si>
    <t>http://www.digikey.com/product-detail/en/MMBT3904/MMBT3904FSCT-ND/458971?curr=usd&amp;WT.z_cid=ref_octopart_dkc_buynow&amp;site=us</t>
  </si>
  <si>
    <t>R15, R16</t>
  </si>
  <si>
    <t>RC0805FR-07130RL</t>
  </si>
  <si>
    <t>130 Ohm 1% 1/8W Resistor</t>
  </si>
  <si>
    <t>311-130CRCT-ND</t>
  </si>
  <si>
    <t>http://www.digikey.com/product-detail/en/RC0805FR-07130RL/311-130CRCT-ND/730536?curr=usd&amp;WT.z_cid=ref_octopart_dkc_buynow&amp;site=us</t>
  </si>
  <si>
    <t>Lite-On Inc.</t>
  </si>
  <si>
    <t>LTST-C190GKT</t>
  </si>
  <si>
    <t>160-1183-1-ND</t>
  </si>
  <si>
    <t>0603 (Imperial)</t>
  </si>
  <si>
    <t>http://www.digikey.com/product-detail/en/LTST-C190GKT/160-1183-1-ND/269255?curr=usd&amp;WT.z_cid=ref_octopart_dkc_buynow&amp;site=us</t>
  </si>
  <si>
    <t>LTST-C190KRKT</t>
  </si>
  <si>
    <t>160-1436-1-ND</t>
  </si>
  <si>
    <t>http://www.digikey.com/product-detail/en/LTST-C190KRKT/160-1436-1-ND/386816?curr=usd&amp;WT.z_cid=ref_octopart_dkc_buynow&amp;site=us</t>
  </si>
  <si>
    <t>Price/Unit</t>
  </si>
  <si>
    <t>Price/10 Units</t>
  </si>
  <si>
    <t>Price/25 Units</t>
  </si>
  <si>
    <t>Cost/Part</t>
  </si>
  <si>
    <t>Total Quantity Cost</t>
  </si>
  <si>
    <t>TDK Corp.</t>
  </si>
  <si>
    <t>MMZ2012Y152BT000</t>
  </si>
  <si>
    <t>1.5kOhm Imp. 400 mOhm Ferrite Bead</t>
  </si>
  <si>
    <t>http://www.digikey.com/product-detail/en/MMZ2012Y152BT000/445-1560-1-ND/571890?curr=usd&amp;WT.z_cid=ref_octopart_dkc_buynow&amp;site=us</t>
  </si>
  <si>
    <t>445-1560-1-ND</t>
  </si>
  <si>
    <t>U5</t>
  </si>
  <si>
    <t>ADS1115IDGSR</t>
  </si>
  <si>
    <t>16-bit 4-Channel ADC</t>
  </si>
  <si>
    <t>296-38849-1-ND</t>
  </si>
  <si>
    <t>10-MSOP</t>
  </si>
  <si>
    <t>http://www.digikey.com/product-detail/en/ADS1115IDGSR/296-38849-1-ND/5142969?curr=usd&amp;WT.z_cid=ref_octopart_dkc_buynow&amp;site=us</t>
  </si>
  <si>
    <t>Total Cost</t>
  </si>
  <si>
    <t>C2, C4, C7</t>
  </si>
  <si>
    <t>FB1</t>
  </si>
  <si>
    <t>C8</t>
  </si>
  <si>
    <t>AVX Corp.</t>
  </si>
  <si>
    <t>08055A102JAT2A</t>
  </si>
  <si>
    <t>1000pF 50V Ceramic Capacitor</t>
  </si>
  <si>
    <t>478-1328-1-ND</t>
  </si>
  <si>
    <t>http://www.digikey.com/product-detail/en/08055A102JAT2A/478-1328-1-ND/564360?curr=usd&amp;WT.z_cid=ref_octopart_dkc_buynow&amp;site=us</t>
  </si>
  <si>
    <t>J14</t>
  </si>
  <si>
    <t>1x1 TH Female Header</t>
  </si>
  <si>
    <t>On Shore Technology Inc.</t>
  </si>
  <si>
    <t>OSTTE020104</t>
  </si>
  <si>
    <t>ED2740-ND</t>
  </si>
  <si>
    <t>OSTTE040104</t>
  </si>
  <si>
    <t>ED2742-ND</t>
  </si>
  <si>
    <t>http://www.digikey.com/product-detail/en/on-shore-technology-inc/OSTTE020104/ED2740-ND/2351816</t>
  </si>
  <si>
    <t>http://www.digikey.com/product-detail/en/on-shore-technology-inc/OSTTE040104/ED2742-ND/2351818</t>
  </si>
  <si>
    <t>J27-J30</t>
  </si>
  <si>
    <t>SAMD21 Dev Board</t>
  </si>
  <si>
    <t>Quantity/Prototype</t>
  </si>
  <si>
    <t>Sparkfun</t>
  </si>
  <si>
    <t>DEV-13672</t>
  </si>
  <si>
    <t>https://www.sparkfun.com/products/13672</t>
  </si>
  <si>
    <t>Arduino Stacking Headers</t>
  </si>
  <si>
    <t>1528-1074-ND</t>
  </si>
  <si>
    <t>http://www.digikey.com/product-search/en?mpart=85&amp;vendor=1528</t>
  </si>
  <si>
    <t>Alt. Source: https://www.adafruit.com/product/85</t>
  </si>
  <si>
    <t>PPPC032LFBN-RC</t>
  </si>
  <si>
    <t>2x3 TH Female Header</t>
  </si>
  <si>
    <t>S7106-ND</t>
  </si>
  <si>
    <t>http://www.digikey.com/product-detail/en/sullins-connector-solutions/PPPC032LFBN-RC/S7106-ND/810243</t>
  </si>
  <si>
    <t>TH is used instead of SMT because the SMT parts are considered through hole by assembly house if not covered in tape</t>
  </si>
  <si>
    <t>PPPC051LFBN-RC</t>
  </si>
  <si>
    <t>1x5 TH Female Header</t>
  </si>
  <si>
    <t>S7038-ND</t>
  </si>
  <si>
    <t>http://www.digikey.com/product-detail/en/sullins-connector-solutions/PPPC051LFBN-RC/S7038-ND/810177</t>
  </si>
  <si>
    <t>PPPC061LFBN-RC</t>
  </si>
  <si>
    <t>1x6 TH Female Header</t>
  </si>
  <si>
    <t>S7039-ND</t>
  </si>
  <si>
    <t>http://www.digikey.com/product-detail/en/sullins-connector-solutions/PPPC061LFBN-RC/S7039-ND/810178</t>
  </si>
  <si>
    <t>PPPC081LFBN-RC</t>
  </si>
  <si>
    <t>1x8 TH Female Header</t>
  </si>
  <si>
    <t>S7041-ND</t>
  </si>
  <si>
    <t>http://www.digikey.com/product-detail/en/sullins-connector-solutions/PPPC081LFBN-RC/S7041-ND/810180</t>
  </si>
  <si>
    <t>PPPC101LFBN-RC</t>
  </si>
  <si>
    <t>1x10 TH Female Header</t>
  </si>
  <si>
    <t>S7043-ND</t>
  </si>
  <si>
    <t>http://www.digikey.com/product-detail/en/sullins-connector-solutions/PPPC101LFBN-RC/S7043-ND/810182</t>
  </si>
  <si>
    <t>LED1</t>
  </si>
  <si>
    <t>LED2</t>
  </si>
  <si>
    <t>J7, J15-J26</t>
  </si>
  <si>
    <t>R1-R5, R7, R9, R11, R13, R19-R21</t>
  </si>
  <si>
    <t>Comchip Technology</t>
  </si>
  <si>
    <t>CDBA240L-HF</t>
  </si>
  <si>
    <t>Schottky Diode</t>
  </si>
  <si>
    <t>641-1697-1-ND</t>
  </si>
  <si>
    <t>DO-214AC</t>
  </si>
  <si>
    <t xml:space="preserve">http://www.digikey.com/product-detail/en/comchip-technology/CDBA240L-HF/641-1697-1-ND/5226080 </t>
  </si>
  <si>
    <t>Q1, Q2, Q5, Q7, Q10</t>
  </si>
  <si>
    <t>4.3k 1% 1/8W Resistor</t>
  </si>
  <si>
    <t>RC0805FR-074K3L</t>
  </si>
  <si>
    <t>311-4.30KCRCT-ND</t>
  </si>
  <si>
    <t>http://www.digikey.com/product-detail/en/RC0805FR-074K3L/311-4.30KCRCT-ND/730862?curr=usd&amp;WT.z_cid=ref_octopart_dkc_buynow&amp;site=us</t>
  </si>
  <si>
    <t>DS1, DS2</t>
  </si>
  <si>
    <t>R6, R8, R10, R17, R18</t>
  </si>
  <si>
    <t>Q3, Q4, Q6, Q8, Q9</t>
  </si>
  <si>
    <t>R23, R24</t>
  </si>
  <si>
    <t>RC0805FR-0775KL</t>
  </si>
  <si>
    <t>75k 1% 1/8W Resistor</t>
  </si>
  <si>
    <t>311-75.0KCRCT-ND</t>
  </si>
  <si>
    <t>http://www.digikey.com/product-detail/en/RC0805FR-0775KL/311-75.0KCRCT-ND/731080?curr=usd&amp;WT.z_cid=ref_octopart_dkc_buynow&amp;site=us</t>
  </si>
  <si>
    <t>R12</t>
  </si>
  <si>
    <t>R22</t>
  </si>
  <si>
    <t>Vishay Dale</t>
  </si>
  <si>
    <t>CRCW080556K0FKEA</t>
  </si>
  <si>
    <t>56k 1% 1/8W Resistor</t>
  </si>
  <si>
    <t>541-56.0KCCT-ND</t>
  </si>
  <si>
    <t>http://www.digikey.com/product-detail/en/CRCW080556K0FKEA/541-56.0KCCT-ND/1180982?curr=usd&amp;WT.z_cid=ref_octopart_dkc_buynow&amp;site=us</t>
  </si>
  <si>
    <t>RC0805FR-0716KL</t>
  </si>
  <si>
    <t>311-16.0KCRCT-ND</t>
  </si>
  <si>
    <t>16k 1% 1/8W Resistor</t>
  </si>
  <si>
    <t>http://www.digikey.com/product-detail/en/RC0805FR-0716KL/311-16.0KCRCT-ND/730567?curr=usd&amp;WT.z_cid=ref_octopart_dkc_buynow&amp;site=us</t>
  </si>
  <si>
    <t>Total Placements:</t>
  </si>
  <si>
    <t>Through Hole Placements:</t>
  </si>
  <si>
    <t>Screaming Circuits</t>
  </si>
  <si>
    <t>Osh Park</t>
  </si>
  <si>
    <t>P033-ND</t>
  </si>
  <si>
    <t>http://www.digikey.com/product-detail/en/panasonic-bsg/CR1220/P033-ND/269740</t>
  </si>
  <si>
    <t>Printed Circuit Board (PCB)</t>
  </si>
  <si>
    <t>Actual (Paid) Cost</t>
  </si>
  <si>
    <t>Quantity:</t>
  </si>
  <si>
    <t>Shipping costs and taxes not included!</t>
  </si>
  <si>
    <t>3.38"x2.90" standard. 7.46"x6.51" panelized. 4x/panel. Osh Park prices $5/in^2 for 3. Actual cost has super swift service added. Medium run not considered</t>
  </si>
  <si>
    <t>PCB Assembly</t>
  </si>
  <si>
    <t>http://www.oshpark.com</t>
  </si>
  <si>
    <t>http://www.screamingcircuits.com</t>
  </si>
  <si>
    <t>Ideal costs are hard to calculate without quote. Student discount included</t>
  </si>
  <si>
    <t>PCB Turnkey Parts</t>
  </si>
  <si>
    <t>Ideal costs are hard to calculate without quote. See Shield Parts sheet for part breakdown without "Turnkey Tax"</t>
  </si>
  <si>
    <t>Seahorse SE-120 Waterproof Case</t>
  </si>
  <si>
    <t>Fuerte Cases</t>
  </si>
  <si>
    <t>SE-120</t>
  </si>
  <si>
    <t>Available from other sources</t>
  </si>
  <si>
    <t>Radiation Shield</t>
  </si>
  <si>
    <t>Ambient Weather</t>
  </si>
  <si>
    <t>SRS100LX</t>
  </si>
  <si>
    <t>http://www.ambientweather.com/amwesrpatean.html</t>
  </si>
  <si>
    <t>Sometimes available from other sources</t>
  </si>
  <si>
    <t>SHT31 Temp/RH Sensor</t>
  </si>
  <si>
    <t>Adafruit</t>
  </si>
  <si>
    <t>https://www.adafruit.com/products/2857</t>
  </si>
  <si>
    <t>MLX90614 IR Sensor</t>
  </si>
  <si>
    <t>Acrobotic</t>
  </si>
  <si>
    <t>MLX90614</t>
  </si>
  <si>
    <t>https://acrobotic.com/brk-00018</t>
  </si>
  <si>
    <t>Can maybe be found on eBay</t>
  </si>
  <si>
    <t>Other options available, see https://no.co/products/solar. Noco UPC: 0-46221-12069-1. More expensive on Noco website</t>
  </si>
  <si>
    <t>Other options available, see https://no.co/products/solar. Noco UPC: 0-46221-13106-2. More expensive on Noco website</t>
  </si>
  <si>
    <t>Davis Anemometer</t>
  </si>
  <si>
    <t>Hodges Marine</t>
  </si>
  <si>
    <t>DAV6410</t>
  </si>
  <si>
    <t>http://www.hodgesmarine.com/Davis-Anemometer-F-Vantage-Pro2-153-Vantage-p/dav6410.htm</t>
  </si>
  <si>
    <t>Red cells indicate values calculated from quotes</t>
  </si>
  <si>
    <t>LiCor Li200 Pyranometer</t>
  </si>
  <si>
    <t>LiCor</t>
  </si>
  <si>
    <t>Li-200R</t>
  </si>
  <si>
    <t>https://www.licor.com</t>
  </si>
  <si>
    <t>Can order online or with quote. Unsure whether online gets you quantity discount</t>
  </si>
  <si>
    <t>Decagon 5TM Soil Sensor</t>
  </si>
  <si>
    <t>Decagon</t>
  </si>
  <si>
    <t>5TM</t>
  </si>
  <si>
    <t>https://www.decagon.com/en/</t>
  </si>
  <si>
    <t>Need quote to order</t>
  </si>
  <si>
    <t>Wide Range 1/8" Blind Rivet</t>
  </si>
  <si>
    <t>97530A030</t>
  </si>
  <si>
    <t>https://www.mcmaster.com/#97530a030/=14t3x41</t>
  </si>
  <si>
    <t>Comes in box of 100</t>
  </si>
  <si>
    <t>1/8" Thick Aluminum Strip</t>
  </si>
  <si>
    <t>2474T11</t>
  </si>
  <si>
    <t>6' Long, 1" Wide</t>
  </si>
  <si>
    <t>https://www.mcmaster.com/#2474t11/=14txki1</t>
  </si>
  <si>
    <t>Can get in orders of different lengths</t>
  </si>
  <si>
    <t>Dessicant</t>
  </si>
  <si>
    <t>3492T15</t>
  </si>
  <si>
    <t>https://www.mcmaster.com/#3492t15/=14r8wyx</t>
  </si>
  <si>
    <t xml:space="preserve">Comes in box of 10 </t>
  </si>
  <si>
    <t>Silicone Sealing Washer</t>
  </si>
  <si>
    <t>99604A103</t>
  </si>
  <si>
    <t>https://www.mcmaster.com/#99604a103/=14t3xma</t>
  </si>
  <si>
    <t>Comes in box of 50</t>
  </si>
  <si>
    <t>McMaster</t>
  </si>
  <si>
    <t>95475A509</t>
  </si>
  <si>
    <t>https://www.mcmaster.com/#95475a509/=14txpr7</t>
  </si>
  <si>
    <t>2" 10-32 Threaded Rod</t>
  </si>
  <si>
    <t>10-32 Wing Nut</t>
  </si>
  <si>
    <t>90866A111</t>
  </si>
  <si>
    <t>https://www.mcmaster.com/#90866a111/=14txqey</t>
  </si>
  <si>
    <t>Compression Spring</t>
  </si>
  <si>
    <t>9657K276</t>
  </si>
  <si>
    <t>https://www.mcmaster.com/#9657k276/=14txsar</t>
  </si>
  <si>
    <t>10-32 Right Hand Helicoil</t>
  </si>
  <si>
    <t>91732A725</t>
  </si>
  <si>
    <t>https://www.mcmaster.com/#91732a725/=14ty2ad</t>
  </si>
  <si>
    <t>Comes in box of 12</t>
  </si>
  <si>
    <t>10-32 Thread Set Screw</t>
  </si>
  <si>
    <t>92311A832</t>
  </si>
  <si>
    <t>https://www.mcmaster.com/#92311A832</t>
  </si>
  <si>
    <t>Bubble Level</t>
  </si>
  <si>
    <t>2147A61</t>
  </si>
  <si>
    <t>https://www.mcmaster.com/#2147a61/=14ty9lt</t>
  </si>
  <si>
    <t>LiCor Base</t>
  </si>
  <si>
    <t>-</t>
  </si>
  <si>
    <t>See LiCor_Leveling_Base sheet for details</t>
  </si>
  <si>
    <t>4" Long, Thick Wall PVC Unthreaded 3/4 Pipe Size</t>
  </si>
  <si>
    <t>48855K22</t>
  </si>
  <si>
    <t>https://www.mcmaster.com/#48855K22</t>
  </si>
  <si>
    <t>Comes in lengths of 5'. Other lengths available</t>
  </si>
  <si>
    <t>1/4" Washer</t>
  </si>
  <si>
    <t>90108A413</t>
  </si>
  <si>
    <t>https://www.mcmaster.com/#90108a413/=14xie31</t>
  </si>
  <si>
    <t>1&amp;5/16" to 2&amp;1/4" Hose Clamp</t>
  </si>
  <si>
    <t>94579</t>
  </si>
  <si>
    <t>Comes in packs of 10</t>
  </si>
  <si>
    <t>Goes around silicon washer to add thickness for rivet to clamp onto. Comes in packs of 10</t>
  </si>
  <si>
    <t>SD Card</t>
  </si>
  <si>
    <t>Newegg</t>
  </si>
  <si>
    <t>9SIA12K0X38348</t>
  </si>
  <si>
    <t>http://www.newegg.com/Product/Product.aspx?item=N82E16820134717</t>
  </si>
  <si>
    <t>Can be substituted with other parts</t>
  </si>
  <si>
    <t>BatterySharks</t>
  </si>
  <si>
    <t>12V 5.5Ah Sealed Lead Acid Battery</t>
  </si>
  <si>
    <t>https://www.batterysharks.com/12-Volt-5-5-Amp-Sealed-Lead-Acid-Battery-p/12v-5.5ah_ups12-5.5.htm</t>
  </si>
  <si>
    <t>PVC T Conduit</t>
  </si>
  <si>
    <t>PVC Elbow</t>
  </si>
  <si>
    <t>Lowe's</t>
  </si>
  <si>
    <t>50916</t>
  </si>
  <si>
    <t>https://www.lowes.com/pd/CARLON-1-2-in-Schedule-40-PVC-Elbow/1091493</t>
  </si>
  <si>
    <t>PVC 90-Degree T Fitting</t>
  </si>
  <si>
    <t>23873</t>
  </si>
  <si>
    <t>https://www.lowes.com/pd/LASCO-1-2-in-Dia-90-Degree-PVC-Sch-40-Tee/1067651</t>
  </si>
  <si>
    <t>Faucet Repair Kit</t>
  </si>
  <si>
    <t>502098</t>
  </si>
  <si>
    <t>https://www.lowes.com/pd/BrassCraft-Faucet-Repair-Kit/4778474</t>
  </si>
  <si>
    <t>Only need screen, not washer</t>
  </si>
  <si>
    <t>423565</t>
  </si>
  <si>
    <t>https://www.lowes.com/pd/The-Hillman-Group-2-Count-5-16-in-x-1-1-4-in-Rubber-Standard-SAE-Flat-Washers/4582595</t>
  </si>
  <si>
    <t>Comes in 2 pack</t>
  </si>
  <si>
    <t>Rubber Flat Washer</t>
  </si>
  <si>
    <t>Zinc-Plated Standard Washer</t>
  </si>
  <si>
    <t>136616</t>
  </si>
  <si>
    <t>https://www.lowes.com/pd/The-Hillman-Group-4-Count-1-4-in-x-1-in-Zinc-Plated-Standard-SAE-Fender-Washers/3012355</t>
  </si>
  <si>
    <t>Comes in 4 pack</t>
  </si>
  <si>
    <t>1-5/16" to 2-1/4" Hose Clamp</t>
  </si>
  <si>
    <t>https://www.lowes.com/pd/10-Pack-1-5-16-in-to-2-1-4-in-dia-Stainless-Steel-Adjustable-Clamps/3878586</t>
  </si>
  <si>
    <t>Comes in 10 pack</t>
  </si>
  <si>
    <t>http://www.seahorsecases.com/Seahorse-SE120-Small-Waterproof-Protective-Equipment-Storage-Shipping-Case.html</t>
  </si>
  <si>
    <t>5415K18</t>
  </si>
  <si>
    <t>https://www.mcmaster.com/#5415k18/=178w5hq</t>
  </si>
  <si>
    <t>1/2" PVC Coupling</t>
  </si>
  <si>
    <t>115991</t>
  </si>
  <si>
    <t>https://www.lowes.com/pd/CARLON-1-2-in-PVC-Transition/3127629</t>
  </si>
  <si>
    <t>23761</t>
  </si>
  <si>
    <t>https://www.lowes.com/pd/Genova-1-2-in-Dia-Coupling-CPVC-Fittings/1000200923</t>
  </si>
  <si>
    <t>BatterySharks is US source. The $30 ones were bought in europe, explaining the price. F2 terminals are typically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</si>
</sst>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[$$-409]* #,##0.00_ ;_-[$$-409]* \-#,##0.00\ ;_-[$$-409]* &quot;-&quot;??_ ;_-@_ "/>
    <numFmt numFmtId="166" formatCode="_([$$-409]* #,##0.0000_);_([$$-409]* \(#,##0.0000\);_([$$-409]* &quot;-&quot;??_);_(@_)"/>
    <numFmt numFmtId="167" formatCode="_(&quot;$&quot;* #,##0.0000_);_(&quot;$&quot;* \(#,##0.0000\);_(&quot;$&quot;* &quot;-&quot;??_);_(@_)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7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8" xfId="0" applyNumberFormat="1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3" xfId="0" applyFill="1" applyBorder="1"/>
    <xf numFmtId="0" fontId="1" fillId="0" borderId="5" xfId="17" applyBorder="1"/>
    <xf numFmtId="44" fontId="0" fillId="0" borderId="5" xfId="0" applyNumberFormat="1" applyBorder="1"/>
    <xf numFmtId="44" fontId="0" fillId="0" borderId="4" xfId="0" applyNumberFormat="1" applyBorder="1"/>
    <xf numFmtId="44" fontId="0" fillId="0" borderId="8" xfId="0" applyNumberFormat="1" applyBorder="1"/>
    <xf numFmtId="44" fontId="0" fillId="0" borderId="7" xfId="0" applyNumberFormat="1" applyBorder="1"/>
    <xf numFmtId="164" fontId="0" fillId="0" borderId="0" xfId="0" applyNumberFormat="1"/>
    <xf numFmtId="0" fontId="0" fillId="0" borderId="0" xfId="0" applyFill="1" applyBorder="1"/>
    <xf numFmtId="164" fontId="0" fillId="0" borderId="5" xfId="0" applyNumberFormat="1" applyBorder="1"/>
    <xf numFmtId="0" fontId="1" fillId="0" borderId="5" xfId="17" applyBorder="1" applyAlignment="1">
      <alignment horizontal="left"/>
    </xf>
    <xf numFmtId="0" fontId="0" fillId="0" borderId="25" xfId="0" applyBorder="1"/>
    <xf numFmtId="49" fontId="0" fillId="0" borderId="0" xfId="0" applyNumberFormat="1" applyBorder="1"/>
    <xf numFmtId="49" fontId="0" fillId="0" borderId="0" xfId="0" applyNumberFormat="1"/>
    <xf numFmtId="49" fontId="0" fillId="0" borderId="2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0" fontId="0" fillId="0" borderId="0" xfId="0" applyFill="1" applyBorder="1" applyAlignment="1">
      <alignment wrapText="1"/>
    </xf>
    <xf numFmtId="165" fontId="0" fillId="0" borderId="0" xfId="0" applyNumberFormat="1"/>
    <xf numFmtId="0" fontId="0" fillId="0" borderId="26" xfId="0" applyBorder="1"/>
    <xf numFmtId="164" fontId="0" fillId="0" borderId="9" xfId="0" applyNumberFormat="1" applyBorder="1"/>
    <xf numFmtId="164" fontId="0" fillId="0" borderId="27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44" fontId="0" fillId="0" borderId="9" xfId="0" applyNumberFormat="1" applyBorder="1"/>
    <xf numFmtId="44" fontId="0" fillId="0" borderId="27" xfId="0" applyNumberFormat="1" applyBorder="1"/>
    <xf numFmtId="0" fontId="0" fillId="0" borderId="29" xfId="0" applyBorder="1"/>
    <xf numFmtId="0" fontId="0" fillId="0" borderId="30" xfId="0" applyBorder="1"/>
    <xf numFmtId="0" fontId="0" fillId="0" borderId="27" xfId="0" applyBorder="1"/>
    <xf numFmtId="0" fontId="0" fillId="0" borderId="1" xfId="0" applyBorder="1" applyAlignment="1">
      <alignment horizontal="center"/>
    </xf>
    <xf numFmtId="0" fontId="0" fillId="0" borderId="31" xfId="0" applyBorder="1"/>
    <xf numFmtId="49" fontId="0" fillId="0" borderId="10" xfId="0" applyNumberFormat="1" applyBorder="1"/>
    <xf numFmtId="0" fontId="1" fillId="0" borderId="27" xfId="17" applyBorder="1"/>
    <xf numFmtId="0" fontId="0" fillId="0" borderId="2" xfId="0" applyBorder="1" applyAlignment="1">
      <alignment horizontal="center"/>
    </xf>
    <xf numFmtId="0" fontId="0" fillId="0" borderId="20" xfId="0" applyNumberFormat="1" applyBorder="1"/>
    <xf numFmtId="0" fontId="0" fillId="0" borderId="0" xfId="0" applyNumberFormat="1"/>
    <xf numFmtId="49" fontId="0" fillId="0" borderId="0" xfId="0" applyNumberFormat="1" applyFill="1" applyBorder="1" applyAlignment="1">
      <alignment wrapText="1"/>
    </xf>
    <xf numFmtId="0" fontId="0" fillId="2" borderId="4" xfId="0" applyFill="1" applyBorder="1"/>
    <xf numFmtId="0" fontId="0" fillId="2" borderId="0" xfId="0" applyFill="1" applyBorder="1"/>
    <xf numFmtId="49" fontId="0" fillId="2" borderId="0" xfId="0" applyNumberFormat="1" applyFill="1" applyBorder="1"/>
    <xf numFmtId="0" fontId="0" fillId="2" borderId="5" xfId="0" applyFill="1" applyBorder="1"/>
    <xf numFmtId="164" fontId="0" fillId="2" borderId="5" xfId="0" applyNumberFormat="1" applyFill="1" applyBorder="1"/>
    <xf numFmtId="44" fontId="0" fillId="2" borderId="5" xfId="0" applyNumberFormat="1" applyFill="1" applyBorder="1"/>
    <xf numFmtId="0" fontId="1" fillId="2" borderId="5" xfId="17" applyFill="1" applyBorder="1"/>
    <xf numFmtId="0" fontId="0" fillId="0" borderId="4" xfId="0" applyFill="1" applyBorder="1"/>
    <xf numFmtId="0" fontId="0" fillId="0" borderId="5" xfId="0" applyFill="1" applyBorder="1"/>
    <xf numFmtId="164" fontId="0" fillId="0" borderId="5" xfId="0" applyNumberFormat="1" applyFill="1" applyBorder="1"/>
    <xf numFmtId="44" fontId="0" fillId="0" borderId="5" xfId="0" applyNumberFormat="1" applyFill="1" applyBorder="1"/>
    <xf numFmtId="0" fontId="0" fillId="0" borderId="0" xfId="0" applyFill="1"/>
    <xf numFmtId="166" fontId="0" fillId="0" borderId="9" xfId="0" applyNumberFormat="1" applyBorder="1"/>
    <xf numFmtId="166" fontId="0" fillId="0" borderId="4" xfId="0" applyNumberFormat="1" applyBorder="1"/>
    <xf numFmtId="166" fontId="0" fillId="2" borderId="4" xfId="0" applyNumberFormat="1" applyFill="1" applyBorder="1"/>
    <xf numFmtId="166" fontId="0" fillId="0" borderId="4" xfId="0" applyNumberFormat="1" applyFill="1" applyBorder="1"/>
    <xf numFmtId="166" fontId="0" fillId="0" borderId="7" xfId="0" applyNumberFormat="1" applyBorder="1"/>
    <xf numFmtId="167" fontId="0" fillId="0" borderId="9" xfId="0" applyNumberFormat="1" applyBorder="1"/>
    <xf numFmtId="167" fontId="0" fillId="0" borderId="4" xfId="0" applyNumberFormat="1" applyBorder="1"/>
    <xf numFmtId="167" fontId="0" fillId="2" borderId="4" xfId="0" applyNumberFormat="1" applyFill="1" applyBorder="1"/>
    <xf numFmtId="167" fontId="0" fillId="0" borderId="4" xfId="0" applyNumberFormat="1" applyFill="1" applyBorder="1"/>
    <xf numFmtId="167" fontId="0" fillId="0" borderId="7" xfId="0" applyNumberFormat="1" applyBorder="1"/>
    <xf numFmtId="0" fontId="1" fillId="0" borderId="5" xfId="17" applyFill="1" applyBorder="1"/>
    <xf numFmtId="0" fontId="1" fillId="0" borderId="8" xfId="17" applyBorder="1"/>
    <xf numFmtId="44" fontId="0" fillId="0" borderId="0" xfId="0" applyNumberFormat="1" applyBorder="1"/>
    <xf numFmtId="44" fontId="0" fillId="0" borderId="6" xfId="0" applyNumberFormat="1" applyBorder="1"/>
    <xf numFmtId="164" fontId="0" fillId="2" borderId="4" xfId="0" applyNumberFormat="1" applyFill="1" applyBorder="1"/>
    <xf numFmtId="44" fontId="0" fillId="2" borderId="4" xfId="0" applyNumberFormat="1" applyFill="1" applyBorder="1"/>
    <xf numFmtId="8" fontId="0" fillId="0" borderId="0" xfId="0" applyNumberFormat="1" applyBorder="1"/>
    <xf numFmtId="0" fontId="0" fillId="0" borderId="22" xfId="0" applyBorder="1" applyAlignment="1">
      <alignment horizontal="center"/>
    </xf>
    <xf numFmtId="164" fontId="0" fillId="0" borderId="4" xfId="0" applyNumberFormat="1" applyFill="1" applyBorder="1"/>
    <xf numFmtId="44" fontId="0" fillId="0" borderId="4" xfId="0" applyNumberFormat="1" applyFill="1" applyBorder="1"/>
    <xf numFmtId="0" fontId="0" fillId="0" borderId="22" xfId="0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creamingcircuits.com/" TargetMode="External"/><Relationship Id="rId4" Type="http://schemas.openxmlformats.org/officeDocument/2006/relationships/hyperlink" Target="https://www.mcmaster.com/" TargetMode="External"/><Relationship Id="rId5" Type="http://schemas.openxmlformats.org/officeDocument/2006/relationships/hyperlink" Target="http://www.newegg.com/Product/Product.aspx?item=N82E16820134717" TargetMode="External"/><Relationship Id="rId1" Type="http://schemas.openxmlformats.org/officeDocument/2006/relationships/hyperlink" Target="http://www.oshpark.com/" TargetMode="External"/><Relationship Id="rId2" Type="http://schemas.openxmlformats.org/officeDocument/2006/relationships/hyperlink" Target="http://www.screamingcircuit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RC0805FR-0775KL/311-75.0KCRCT-ND/731080?curr=usd&amp;WT.z_cid=ref_octopart_dkc_buynow&amp;site=us" TargetMode="External"/><Relationship Id="rId4" Type="http://schemas.openxmlformats.org/officeDocument/2006/relationships/hyperlink" Target="http://www.digikey.com/product-detail/en/RC0805FR-0716KL/311-16.0KCRCT-ND/730567?curr=usd&amp;WT.z_cid=ref_octopart_dkc_buynow&amp;site=us" TargetMode="External"/><Relationship Id="rId1" Type="http://schemas.openxmlformats.org/officeDocument/2006/relationships/hyperlink" Target="http://www.mouser.com/ProductDetail/Bosch-Sensortec/BMP280/?qs=QhAb4EtQfbUP9Z%252bCHM3Wyg%3D%3D" TargetMode="External"/><Relationship Id="rId2" Type="http://schemas.openxmlformats.org/officeDocument/2006/relationships/hyperlink" Target="http://www.digikey.com/product-detail/en/comchip-technology/CDBA240L-HF/641-1697-1-ND/52260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topLeftCell="N1" workbookViewId="0">
      <selection activeCell="P13" sqref="P13"/>
    </sheetView>
  </sheetViews>
  <sheetFormatPr baseColWidth="10" defaultRowHeight="16" x14ac:dyDescent="0.2"/>
  <cols>
    <col min="1" max="1" width="7.83203125" bestFit="1" customWidth="1"/>
    <col min="2" max="2" width="28.83203125" bestFit="1" customWidth="1"/>
    <col min="3" max="3" width="17.1640625" bestFit="1" customWidth="1"/>
    <col min="4" max="4" width="19.5" bestFit="1" customWidth="1"/>
    <col min="5" max="5" width="16.83203125" bestFit="1" customWidth="1"/>
    <col min="6" max="6" width="19.5" bestFit="1" customWidth="1"/>
    <col min="7" max="7" width="13.1640625" bestFit="1" customWidth="1"/>
    <col min="8" max="8" width="19.5" bestFit="1" customWidth="1"/>
    <col min="9" max="9" width="13.1640625" bestFit="1" customWidth="1"/>
    <col min="10" max="10" width="19.5" bestFit="1" customWidth="1"/>
    <col min="11" max="11" width="13.1640625" customWidth="1"/>
    <col min="12" max="12" width="16" bestFit="1" customWidth="1"/>
    <col min="13" max="13" width="20.83203125" bestFit="1" customWidth="1"/>
    <col min="14" max="14" width="13.5" bestFit="1" customWidth="1"/>
    <col min="15" max="15" width="156.5" bestFit="1" customWidth="1"/>
    <col min="16" max="16" width="127.6640625" bestFit="1" customWidth="1"/>
  </cols>
  <sheetData>
    <row r="1" spans="1:16" ht="17" thickBot="1" x14ac:dyDescent="0.25">
      <c r="A1" s="46"/>
      <c r="B1" s="1"/>
      <c r="D1" s="3" t="s">
        <v>260</v>
      </c>
      <c r="F1" t="s">
        <v>291</v>
      </c>
      <c r="J1" t="s">
        <v>259</v>
      </c>
      <c r="K1">
        <v>12</v>
      </c>
      <c r="N1" s="30"/>
    </row>
    <row r="2" spans="1:16" ht="17" thickBot="1" x14ac:dyDescent="0.25">
      <c r="A2" s="89" t="s">
        <v>5</v>
      </c>
      <c r="B2" s="90"/>
      <c r="C2" s="17"/>
      <c r="D2" s="89" t="s">
        <v>4</v>
      </c>
      <c r="E2" s="91"/>
      <c r="F2" s="92" t="s">
        <v>6</v>
      </c>
      <c r="G2" s="91"/>
      <c r="H2" s="89" t="s">
        <v>7</v>
      </c>
      <c r="I2" s="91"/>
      <c r="J2" s="94" t="s">
        <v>258</v>
      </c>
      <c r="K2" s="95"/>
      <c r="L2" s="89" t="s">
        <v>8</v>
      </c>
      <c r="M2" s="93"/>
      <c r="N2" s="90"/>
      <c r="O2" s="91"/>
      <c r="P2" s="87" t="s">
        <v>27</v>
      </c>
    </row>
    <row r="3" spans="1:16" ht="18" thickTop="1" thickBot="1" x14ac:dyDescent="0.25">
      <c r="A3" s="10" t="s">
        <v>0</v>
      </c>
      <c r="B3" s="47" t="s">
        <v>28</v>
      </c>
      <c r="C3" s="18" t="s">
        <v>188</v>
      </c>
      <c r="D3" s="10" t="s">
        <v>1</v>
      </c>
      <c r="E3" s="28" t="s">
        <v>156</v>
      </c>
      <c r="F3" s="36" t="s">
        <v>1</v>
      </c>
      <c r="G3" s="13" t="s">
        <v>11</v>
      </c>
      <c r="H3" s="12" t="s">
        <v>1</v>
      </c>
      <c r="I3" s="13" t="s">
        <v>11</v>
      </c>
      <c r="J3" s="6" t="s">
        <v>1</v>
      </c>
      <c r="K3" s="6" t="s">
        <v>11</v>
      </c>
      <c r="L3" s="12" t="s">
        <v>2</v>
      </c>
      <c r="M3" s="14" t="s">
        <v>42</v>
      </c>
      <c r="N3" s="31" t="s">
        <v>10</v>
      </c>
      <c r="O3" s="13" t="s">
        <v>3</v>
      </c>
      <c r="P3" s="88"/>
    </row>
    <row r="4" spans="1:16" x14ac:dyDescent="0.2">
      <c r="A4" s="8"/>
      <c r="B4" s="25" t="s">
        <v>19</v>
      </c>
      <c r="C4" s="45">
        <v>1</v>
      </c>
      <c r="D4" s="37">
        <v>0.9</v>
      </c>
      <c r="E4" s="38">
        <f t="shared" ref="E4:E30" si="0">C4*D4</f>
        <v>0.9</v>
      </c>
      <c r="F4" s="41">
        <v>0.81200000000000006</v>
      </c>
      <c r="G4" s="42">
        <f t="shared" ref="G4:G30" si="1">C4*F4*10</f>
        <v>8.120000000000001</v>
      </c>
      <c r="H4" s="41">
        <f>F4</f>
        <v>0.81200000000000006</v>
      </c>
      <c r="I4" s="42">
        <f t="shared" ref="I4:I30" si="2">C4*H4*25</f>
        <v>20.3</v>
      </c>
      <c r="J4" s="78">
        <f>F4</f>
        <v>0.81200000000000006</v>
      </c>
      <c r="K4" s="78">
        <f>J4*$K$1</f>
        <v>9.7439999999999998</v>
      </c>
      <c r="L4" s="2" t="s">
        <v>41</v>
      </c>
      <c r="M4" s="29" t="s">
        <v>255</v>
      </c>
      <c r="N4" s="29" t="s">
        <v>18</v>
      </c>
      <c r="O4" s="19" t="s">
        <v>256</v>
      </c>
      <c r="P4" s="43" t="s">
        <v>32</v>
      </c>
    </row>
    <row r="5" spans="1:16" x14ac:dyDescent="0.2">
      <c r="A5" s="2"/>
      <c r="B5" s="3" t="s">
        <v>35</v>
      </c>
      <c r="C5" s="4">
        <v>1</v>
      </c>
      <c r="D5" s="39">
        <v>24.95</v>
      </c>
      <c r="E5" s="26">
        <f t="shared" si="0"/>
        <v>24.95</v>
      </c>
      <c r="F5" s="21">
        <f>D5</f>
        <v>24.95</v>
      </c>
      <c r="G5" s="20">
        <f t="shared" si="1"/>
        <v>249.5</v>
      </c>
      <c r="H5" s="21">
        <f>D5</f>
        <v>24.95</v>
      </c>
      <c r="I5" s="20">
        <f t="shared" si="2"/>
        <v>623.75</v>
      </c>
      <c r="J5" s="78">
        <f>F5</f>
        <v>24.95</v>
      </c>
      <c r="K5" s="78">
        <f t="shared" ref="K5:K30" si="3">J5*$K$1</f>
        <v>299.39999999999998</v>
      </c>
      <c r="L5" s="2" t="s">
        <v>33</v>
      </c>
      <c r="M5" s="29" t="s">
        <v>18</v>
      </c>
      <c r="N5" s="29" t="s">
        <v>18</v>
      </c>
      <c r="O5" s="19" t="s">
        <v>34</v>
      </c>
      <c r="P5" s="43" t="s">
        <v>285</v>
      </c>
    </row>
    <row r="6" spans="1:16" x14ac:dyDescent="0.2">
      <c r="A6" s="2"/>
      <c r="B6" s="25" t="s">
        <v>36</v>
      </c>
      <c r="C6" s="4">
        <v>1</v>
      </c>
      <c r="D6" s="39">
        <v>12.95</v>
      </c>
      <c r="E6" s="26">
        <f t="shared" si="0"/>
        <v>12.95</v>
      </c>
      <c r="F6" s="21">
        <f>D6</f>
        <v>12.95</v>
      </c>
      <c r="G6" s="20">
        <f t="shared" si="1"/>
        <v>129.5</v>
      </c>
      <c r="H6" s="21">
        <f>D6</f>
        <v>12.95</v>
      </c>
      <c r="I6" s="20">
        <f t="shared" si="2"/>
        <v>323.75</v>
      </c>
      <c r="J6" s="78">
        <f>F6</f>
        <v>12.95</v>
      </c>
      <c r="K6" s="78">
        <f t="shared" si="3"/>
        <v>155.39999999999998</v>
      </c>
      <c r="L6" s="2" t="s">
        <v>33</v>
      </c>
      <c r="M6" s="29" t="s">
        <v>18</v>
      </c>
      <c r="N6" s="32" t="s">
        <v>18</v>
      </c>
      <c r="O6" s="19" t="s">
        <v>37</v>
      </c>
      <c r="P6" s="43" t="s">
        <v>286</v>
      </c>
    </row>
    <row r="7" spans="1:16" x14ac:dyDescent="0.2">
      <c r="A7" s="2"/>
      <c r="B7" s="25" t="s">
        <v>187</v>
      </c>
      <c r="C7" s="4">
        <v>1</v>
      </c>
      <c r="D7" s="39">
        <v>24.95</v>
      </c>
      <c r="E7" s="26">
        <f t="shared" si="0"/>
        <v>24.95</v>
      </c>
      <c r="F7" s="21">
        <v>23.7</v>
      </c>
      <c r="G7" s="20">
        <f t="shared" si="1"/>
        <v>237</v>
      </c>
      <c r="H7" s="21">
        <v>22.46</v>
      </c>
      <c r="I7" s="20">
        <f t="shared" si="2"/>
        <v>561.5</v>
      </c>
      <c r="J7" s="78">
        <f>F7</f>
        <v>23.7</v>
      </c>
      <c r="K7" s="78">
        <f t="shared" si="3"/>
        <v>284.39999999999998</v>
      </c>
      <c r="L7" s="2" t="s">
        <v>189</v>
      </c>
      <c r="M7" s="29" t="s">
        <v>190</v>
      </c>
      <c r="N7" s="32" t="s">
        <v>18</v>
      </c>
      <c r="O7" s="19" t="s">
        <v>191</v>
      </c>
      <c r="P7" s="43"/>
    </row>
    <row r="8" spans="1:16" x14ac:dyDescent="0.2">
      <c r="A8" s="2"/>
      <c r="B8" s="25" t="s">
        <v>192</v>
      </c>
      <c r="C8" s="4">
        <v>1</v>
      </c>
      <c r="D8" s="39">
        <v>1.95</v>
      </c>
      <c r="E8" s="26">
        <f t="shared" si="0"/>
        <v>1.95</v>
      </c>
      <c r="F8" s="21">
        <v>1.7549999999999999</v>
      </c>
      <c r="G8" s="20">
        <f t="shared" si="1"/>
        <v>17.549999999999997</v>
      </c>
      <c r="H8" s="21">
        <f>F8</f>
        <v>1.7549999999999999</v>
      </c>
      <c r="I8" s="20">
        <f t="shared" si="2"/>
        <v>43.875</v>
      </c>
      <c r="J8" s="78">
        <f>F8</f>
        <v>1.7549999999999999</v>
      </c>
      <c r="K8" s="78">
        <f t="shared" si="3"/>
        <v>21.06</v>
      </c>
      <c r="L8" s="2" t="s">
        <v>41</v>
      </c>
      <c r="M8" s="29" t="s">
        <v>193</v>
      </c>
      <c r="N8" s="32" t="s">
        <v>18</v>
      </c>
      <c r="O8" s="19" t="s">
        <v>194</v>
      </c>
      <c r="P8" s="43" t="s">
        <v>195</v>
      </c>
    </row>
    <row r="9" spans="1:16" x14ac:dyDescent="0.2">
      <c r="A9" s="2"/>
      <c r="B9" s="25" t="s">
        <v>257</v>
      </c>
      <c r="C9" s="4">
        <v>1</v>
      </c>
      <c r="D9" s="39">
        <f>9.802*5/3</f>
        <v>16.336666666666666</v>
      </c>
      <c r="E9" s="26">
        <f t="shared" si="0"/>
        <v>16.336666666666666</v>
      </c>
      <c r="F9" s="21">
        <f>D9</f>
        <v>16.336666666666666</v>
      </c>
      <c r="G9" s="20">
        <f t="shared" si="1"/>
        <v>163.36666666666667</v>
      </c>
      <c r="H9" s="21">
        <f>D9</f>
        <v>16.336666666666666</v>
      </c>
      <c r="I9" s="20">
        <f t="shared" si="2"/>
        <v>408.41666666666663</v>
      </c>
      <c r="J9" s="78">
        <f>331.5/12</f>
        <v>27.625</v>
      </c>
      <c r="K9" s="78">
        <f t="shared" si="3"/>
        <v>331.5</v>
      </c>
      <c r="L9" s="2" t="s">
        <v>254</v>
      </c>
      <c r="M9" s="32" t="s">
        <v>18</v>
      </c>
      <c r="N9" s="32" t="s">
        <v>18</v>
      </c>
      <c r="O9" s="19" t="s">
        <v>263</v>
      </c>
      <c r="P9" s="43" t="s">
        <v>261</v>
      </c>
    </row>
    <row r="10" spans="1:16" x14ac:dyDescent="0.2">
      <c r="A10" s="2"/>
      <c r="B10" s="25" t="s">
        <v>262</v>
      </c>
      <c r="C10" s="4">
        <v>1</v>
      </c>
      <c r="D10" s="80">
        <f>J10*1</f>
        <v>70.732500000000002</v>
      </c>
      <c r="E10" s="58">
        <f t="shared" si="0"/>
        <v>70.732500000000002</v>
      </c>
      <c r="F10" s="81">
        <f>J10</f>
        <v>70.732500000000002</v>
      </c>
      <c r="G10" s="59">
        <f t="shared" si="1"/>
        <v>707.32500000000005</v>
      </c>
      <c r="H10" s="81">
        <f>J10</f>
        <v>70.732500000000002</v>
      </c>
      <c r="I10" s="59">
        <f t="shared" si="2"/>
        <v>1768.3125</v>
      </c>
      <c r="J10" s="78">
        <f>(943.1-94.31)/12</f>
        <v>70.732500000000002</v>
      </c>
      <c r="K10" s="78">
        <f t="shared" si="3"/>
        <v>848.79</v>
      </c>
      <c r="L10" s="2" t="s">
        <v>253</v>
      </c>
      <c r="M10" s="32" t="s">
        <v>18</v>
      </c>
      <c r="N10" s="32" t="s">
        <v>18</v>
      </c>
      <c r="O10" s="19" t="s">
        <v>264</v>
      </c>
      <c r="P10" s="43" t="s">
        <v>265</v>
      </c>
    </row>
    <row r="11" spans="1:16" x14ac:dyDescent="0.2">
      <c r="A11" s="2"/>
      <c r="B11" s="25" t="s">
        <v>266</v>
      </c>
      <c r="C11" s="4">
        <v>1</v>
      </c>
      <c r="D11" s="80">
        <f>J11</f>
        <v>58.594166666666666</v>
      </c>
      <c r="E11" s="58">
        <f t="shared" si="0"/>
        <v>58.594166666666666</v>
      </c>
      <c r="F11" s="81">
        <f>J11</f>
        <v>58.594166666666666</v>
      </c>
      <c r="G11" s="59">
        <f t="shared" si="1"/>
        <v>585.94166666666661</v>
      </c>
      <c r="H11" s="81">
        <f>J11</f>
        <v>58.594166666666666</v>
      </c>
      <c r="I11" s="59">
        <f t="shared" si="2"/>
        <v>1464.8541666666667</v>
      </c>
      <c r="J11" s="78">
        <f>703.13/12</f>
        <v>58.594166666666666</v>
      </c>
      <c r="K11" s="78">
        <f t="shared" si="3"/>
        <v>703.13</v>
      </c>
      <c r="L11" s="2" t="s">
        <v>253</v>
      </c>
      <c r="M11" s="32" t="s">
        <v>18</v>
      </c>
      <c r="N11" s="32" t="s">
        <v>18</v>
      </c>
      <c r="O11" s="19" t="s">
        <v>264</v>
      </c>
      <c r="P11" s="43" t="s">
        <v>267</v>
      </c>
    </row>
    <row r="12" spans="1:16" x14ac:dyDescent="0.2">
      <c r="A12" s="2"/>
      <c r="B12" s="25" t="s">
        <v>359</v>
      </c>
      <c r="C12" s="4">
        <v>1</v>
      </c>
      <c r="D12" s="39">
        <v>8.39</v>
      </c>
      <c r="E12" s="26">
        <f t="shared" si="0"/>
        <v>8.39</v>
      </c>
      <c r="F12" s="21">
        <f>D12</f>
        <v>8.39</v>
      </c>
      <c r="G12" s="20">
        <f t="shared" si="1"/>
        <v>83.9</v>
      </c>
      <c r="H12" s="21">
        <f>D12</f>
        <v>8.39</v>
      </c>
      <c r="I12" s="20">
        <f t="shared" si="2"/>
        <v>209.75</v>
      </c>
      <c r="J12" s="78">
        <v>32</v>
      </c>
      <c r="K12" s="78">
        <f t="shared" si="3"/>
        <v>384</v>
      </c>
      <c r="L12" s="2" t="s">
        <v>358</v>
      </c>
      <c r="M12" s="29" t="s">
        <v>18</v>
      </c>
      <c r="N12" s="29" t="s">
        <v>18</v>
      </c>
      <c r="O12" s="19" t="s">
        <v>360</v>
      </c>
      <c r="P12" s="43" t="s">
        <v>392</v>
      </c>
    </row>
    <row r="13" spans="1:16" x14ac:dyDescent="0.2">
      <c r="A13" s="2"/>
      <c r="B13" s="25" t="s">
        <v>268</v>
      </c>
      <c r="C13" s="4">
        <v>1</v>
      </c>
      <c r="D13" s="39">
        <v>11.83</v>
      </c>
      <c r="E13" s="26">
        <f t="shared" si="0"/>
        <v>11.83</v>
      </c>
      <c r="F13" s="21">
        <f>D13</f>
        <v>11.83</v>
      </c>
      <c r="G13" s="20">
        <f t="shared" si="1"/>
        <v>118.3</v>
      </c>
      <c r="H13" s="21">
        <f>D13</f>
        <v>11.83</v>
      </c>
      <c r="I13" s="20">
        <f t="shared" si="2"/>
        <v>295.75</v>
      </c>
      <c r="J13" s="78">
        <v>11.83</v>
      </c>
      <c r="K13" s="78">
        <f t="shared" si="3"/>
        <v>141.96</v>
      </c>
      <c r="L13" s="2" t="s">
        <v>269</v>
      </c>
      <c r="M13" s="32" t="s">
        <v>270</v>
      </c>
      <c r="N13" s="29" t="s">
        <v>18</v>
      </c>
      <c r="O13" s="19" t="s">
        <v>384</v>
      </c>
      <c r="P13" s="43" t="s">
        <v>271</v>
      </c>
    </row>
    <row r="14" spans="1:16" x14ac:dyDescent="0.2">
      <c r="A14" s="2"/>
      <c r="B14" s="25" t="s">
        <v>272</v>
      </c>
      <c r="C14" s="4">
        <v>1</v>
      </c>
      <c r="D14" s="39">
        <v>39.99</v>
      </c>
      <c r="E14" s="26">
        <f t="shared" si="0"/>
        <v>39.99</v>
      </c>
      <c r="F14" s="21">
        <f>D14</f>
        <v>39.99</v>
      </c>
      <c r="G14" s="20">
        <f t="shared" si="1"/>
        <v>399.90000000000003</v>
      </c>
      <c r="H14" s="21">
        <f>D14</f>
        <v>39.99</v>
      </c>
      <c r="I14" s="20">
        <f t="shared" si="2"/>
        <v>999.75</v>
      </c>
      <c r="J14" s="78">
        <v>39.99</v>
      </c>
      <c r="K14" s="78">
        <f t="shared" si="3"/>
        <v>479.88</v>
      </c>
      <c r="L14" s="2" t="s">
        <v>273</v>
      </c>
      <c r="M14" s="29" t="s">
        <v>274</v>
      </c>
      <c r="N14" s="29" t="s">
        <v>18</v>
      </c>
      <c r="O14" s="19" t="s">
        <v>275</v>
      </c>
      <c r="P14" s="43" t="s">
        <v>276</v>
      </c>
    </row>
    <row r="15" spans="1:16" x14ac:dyDescent="0.2">
      <c r="A15" s="2"/>
      <c r="B15" s="25" t="s">
        <v>277</v>
      </c>
      <c r="C15" s="4">
        <v>1</v>
      </c>
      <c r="D15" s="39">
        <v>13.95</v>
      </c>
      <c r="E15" s="26">
        <f t="shared" si="0"/>
        <v>13.95</v>
      </c>
      <c r="F15" s="21">
        <v>12.56</v>
      </c>
      <c r="G15" s="20">
        <f t="shared" si="1"/>
        <v>125.60000000000001</v>
      </c>
      <c r="H15" s="21">
        <f>F15</f>
        <v>12.56</v>
      </c>
      <c r="I15" s="20">
        <f t="shared" si="2"/>
        <v>314</v>
      </c>
      <c r="J15" s="78">
        <f>F15</f>
        <v>12.56</v>
      </c>
      <c r="K15" s="78">
        <f t="shared" si="3"/>
        <v>150.72</v>
      </c>
      <c r="L15" s="2" t="s">
        <v>278</v>
      </c>
      <c r="M15" s="29">
        <v>2857</v>
      </c>
      <c r="N15" s="29" t="s">
        <v>18</v>
      </c>
      <c r="O15" s="19" t="s">
        <v>279</v>
      </c>
      <c r="P15" s="43"/>
    </row>
    <row r="16" spans="1:16" x14ac:dyDescent="0.2">
      <c r="A16" s="2"/>
      <c r="B16" s="25" t="s">
        <v>280</v>
      </c>
      <c r="C16" s="4">
        <v>1</v>
      </c>
      <c r="D16" s="39">
        <v>14.95</v>
      </c>
      <c r="E16" s="26">
        <f t="shared" si="0"/>
        <v>14.95</v>
      </c>
      <c r="F16" s="21">
        <v>13.46</v>
      </c>
      <c r="G16" s="20">
        <f t="shared" si="1"/>
        <v>134.60000000000002</v>
      </c>
      <c r="H16" s="21">
        <f>F16</f>
        <v>13.46</v>
      </c>
      <c r="I16" s="20">
        <f t="shared" si="2"/>
        <v>336.5</v>
      </c>
      <c r="J16" s="78">
        <f>F16</f>
        <v>13.46</v>
      </c>
      <c r="K16" s="78">
        <f t="shared" si="3"/>
        <v>161.52000000000001</v>
      </c>
      <c r="L16" s="2" t="s">
        <v>281</v>
      </c>
      <c r="M16" s="32" t="s">
        <v>282</v>
      </c>
      <c r="N16" s="32" t="s">
        <v>18</v>
      </c>
      <c r="O16" s="27" t="s">
        <v>283</v>
      </c>
      <c r="P16" s="43" t="s">
        <v>284</v>
      </c>
    </row>
    <row r="17" spans="1:16" x14ac:dyDescent="0.2">
      <c r="A17" s="2"/>
      <c r="B17" s="25" t="s">
        <v>297</v>
      </c>
      <c r="C17" s="4">
        <v>2</v>
      </c>
      <c r="D17" s="39">
        <v>186</v>
      </c>
      <c r="E17" s="26">
        <f t="shared" si="0"/>
        <v>372</v>
      </c>
      <c r="F17" s="21">
        <v>167</v>
      </c>
      <c r="G17" s="20">
        <f t="shared" si="1"/>
        <v>3340</v>
      </c>
      <c r="H17" s="21">
        <v>167</v>
      </c>
      <c r="I17" s="20">
        <f t="shared" si="2"/>
        <v>8350</v>
      </c>
      <c r="J17" s="78">
        <f>H17*C17</f>
        <v>334</v>
      </c>
      <c r="K17" s="78">
        <f t="shared" si="3"/>
        <v>4008</v>
      </c>
      <c r="L17" s="2" t="s">
        <v>298</v>
      </c>
      <c r="M17" s="29" t="s">
        <v>299</v>
      </c>
      <c r="N17" s="29" t="s">
        <v>18</v>
      </c>
      <c r="O17" s="19" t="s">
        <v>300</v>
      </c>
      <c r="P17" s="43" t="s">
        <v>301</v>
      </c>
    </row>
    <row r="18" spans="1:16" x14ac:dyDescent="0.2">
      <c r="A18" s="2"/>
      <c r="B18" s="25" t="s">
        <v>287</v>
      </c>
      <c r="C18" s="4">
        <v>1</v>
      </c>
      <c r="D18" s="39">
        <v>106.99</v>
      </c>
      <c r="E18" s="26">
        <f t="shared" si="0"/>
        <v>106.99</v>
      </c>
      <c r="F18" s="21">
        <f>D18</f>
        <v>106.99</v>
      </c>
      <c r="G18" s="20">
        <f t="shared" si="1"/>
        <v>1069.8999999999999</v>
      </c>
      <c r="H18" s="21">
        <f>D18</f>
        <v>106.99</v>
      </c>
      <c r="I18" s="20">
        <f t="shared" si="2"/>
        <v>2674.75</v>
      </c>
      <c r="J18" s="78">
        <f>D18</f>
        <v>106.99</v>
      </c>
      <c r="K18" s="78">
        <f t="shared" si="3"/>
        <v>1283.8799999999999</v>
      </c>
      <c r="L18" s="2" t="s">
        <v>288</v>
      </c>
      <c r="M18" s="29" t="s">
        <v>289</v>
      </c>
      <c r="N18" s="29" t="s">
        <v>18</v>
      </c>
      <c r="O18" s="19" t="s">
        <v>290</v>
      </c>
      <c r="P18" s="43"/>
    </row>
    <row r="19" spans="1:16" x14ac:dyDescent="0.2">
      <c r="A19" s="2"/>
      <c r="B19" s="25" t="s">
        <v>292</v>
      </c>
      <c r="C19" s="4">
        <v>1</v>
      </c>
      <c r="D19" s="39">
        <v>270</v>
      </c>
      <c r="E19" s="26">
        <f t="shared" si="0"/>
        <v>270</v>
      </c>
      <c r="F19" s="21">
        <v>259.2</v>
      </c>
      <c r="G19" s="20">
        <f t="shared" si="1"/>
        <v>2592</v>
      </c>
      <c r="H19" s="21">
        <v>259.2</v>
      </c>
      <c r="I19" s="20">
        <f t="shared" si="2"/>
        <v>6480</v>
      </c>
      <c r="J19" s="78">
        <v>259.2</v>
      </c>
      <c r="K19" s="78">
        <f t="shared" si="3"/>
        <v>3110.3999999999996</v>
      </c>
      <c r="L19" s="2" t="s">
        <v>293</v>
      </c>
      <c r="M19" s="29" t="s">
        <v>294</v>
      </c>
      <c r="N19" s="29" t="s">
        <v>18</v>
      </c>
      <c r="O19" s="19" t="s">
        <v>295</v>
      </c>
      <c r="P19" s="43" t="s">
        <v>296</v>
      </c>
    </row>
    <row r="20" spans="1:16" x14ac:dyDescent="0.2">
      <c r="A20" s="2"/>
      <c r="B20" s="25" t="s">
        <v>302</v>
      </c>
      <c r="C20" s="4">
        <v>3</v>
      </c>
      <c r="D20" s="39">
        <f>8.19/100</f>
        <v>8.1900000000000001E-2</v>
      </c>
      <c r="E20" s="26">
        <f t="shared" si="0"/>
        <v>0.2457</v>
      </c>
      <c r="F20" s="21">
        <f>D20</f>
        <v>8.1900000000000001E-2</v>
      </c>
      <c r="G20" s="20">
        <f t="shared" si="1"/>
        <v>2.4569999999999999</v>
      </c>
      <c r="H20" s="21">
        <f>D20</f>
        <v>8.1900000000000001E-2</v>
      </c>
      <c r="I20" s="20">
        <f t="shared" si="2"/>
        <v>6.1425000000000001</v>
      </c>
      <c r="J20" s="78">
        <f>E20</f>
        <v>0.2457</v>
      </c>
      <c r="K20" s="78">
        <f t="shared" si="3"/>
        <v>2.9483999999999999</v>
      </c>
      <c r="L20" s="2" t="s">
        <v>319</v>
      </c>
      <c r="M20" s="29" t="s">
        <v>303</v>
      </c>
      <c r="N20" s="29" t="s">
        <v>18</v>
      </c>
      <c r="O20" s="19" t="s">
        <v>304</v>
      </c>
      <c r="P20" s="43" t="s">
        <v>305</v>
      </c>
    </row>
    <row r="21" spans="1:16" x14ac:dyDescent="0.2">
      <c r="A21" s="2"/>
      <c r="B21" s="25" t="s">
        <v>306</v>
      </c>
      <c r="C21" s="4">
        <v>1</v>
      </c>
      <c r="D21" s="39">
        <v>0.31708333300000002</v>
      </c>
      <c r="E21" s="26">
        <f t="shared" si="0"/>
        <v>0.31708333300000002</v>
      </c>
      <c r="F21" s="21">
        <f>D21</f>
        <v>0.31708333300000002</v>
      </c>
      <c r="G21" s="20">
        <f t="shared" si="1"/>
        <v>3.1708333300000002</v>
      </c>
      <c r="H21" s="21">
        <f>D21</f>
        <v>0.31708333300000002</v>
      </c>
      <c r="I21" s="20">
        <f t="shared" si="2"/>
        <v>7.9270833250000008</v>
      </c>
      <c r="J21" s="78">
        <f>D21</f>
        <v>0.31708333300000002</v>
      </c>
      <c r="K21" s="78">
        <f t="shared" si="3"/>
        <v>3.8049999960000003</v>
      </c>
      <c r="L21" s="2" t="s">
        <v>319</v>
      </c>
      <c r="M21" s="29" t="s">
        <v>307</v>
      </c>
      <c r="N21" s="29" t="s">
        <v>308</v>
      </c>
      <c r="O21" s="19" t="s">
        <v>309</v>
      </c>
      <c r="P21" s="43" t="s">
        <v>310</v>
      </c>
    </row>
    <row r="22" spans="1:16" x14ac:dyDescent="0.2">
      <c r="A22" s="2"/>
      <c r="B22" s="25" t="s">
        <v>311</v>
      </c>
      <c r="C22" s="4">
        <v>1</v>
      </c>
      <c r="D22" s="39">
        <f>10.96/10</f>
        <v>1.0960000000000001</v>
      </c>
      <c r="E22" s="26">
        <f t="shared" si="0"/>
        <v>1.0960000000000001</v>
      </c>
      <c r="F22" s="21">
        <f>D22</f>
        <v>1.0960000000000001</v>
      </c>
      <c r="G22" s="20">
        <f t="shared" si="1"/>
        <v>10.96</v>
      </c>
      <c r="H22" s="21">
        <f>D22</f>
        <v>1.0960000000000001</v>
      </c>
      <c r="I22" s="20">
        <f t="shared" si="2"/>
        <v>27.400000000000002</v>
      </c>
      <c r="J22" s="78">
        <f>D22</f>
        <v>1.0960000000000001</v>
      </c>
      <c r="K22" s="78">
        <f t="shared" si="3"/>
        <v>13.152000000000001</v>
      </c>
      <c r="L22" s="2" t="s">
        <v>319</v>
      </c>
      <c r="M22" s="29" t="s">
        <v>312</v>
      </c>
      <c r="N22" s="29" t="s">
        <v>18</v>
      </c>
      <c r="O22" s="19" t="s">
        <v>313</v>
      </c>
      <c r="P22" s="43" t="s">
        <v>314</v>
      </c>
    </row>
    <row r="23" spans="1:16" x14ac:dyDescent="0.2">
      <c r="A23" s="2"/>
      <c r="B23" s="25" t="s">
        <v>315</v>
      </c>
      <c r="C23" s="4">
        <v>2</v>
      </c>
      <c r="D23" s="39">
        <f>7.36/50</f>
        <v>0.1472</v>
      </c>
      <c r="E23" s="26">
        <f t="shared" si="0"/>
        <v>0.2944</v>
      </c>
      <c r="F23" s="21">
        <f>D23</f>
        <v>0.1472</v>
      </c>
      <c r="G23" s="20">
        <f t="shared" si="1"/>
        <v>2.944</v>
      </c>
      <c r="H23" s="21">
        <f>D23</f>
        <v>0.1472</v>
      </c>
      <c r="I23" s="20">
        <f t="shared" si="2"/>
        <v>7.3599999999999994</v>
      </c>
      <c r="J23" s="78">
        <f>E23</f>
        <v>0.2944</v>
      </c>
      <c r="K23" s="78">
        <f t="shared" si="3"/>
        <v>3.5327999999999999</v>
      </c>
      <c r="L23" s="2" t="s">
        <v>319</v>
      </c>
      <c r="M23" s="29" t="s">
        <v>316</v>
      </c>
      <c r="N23" s="29" t="s">
        <v>18</v>
      </c>
      <c r="O23" s="19" t="s">
        <v>317</v>
      </c>
      <c r="P23" s="43" t="s">
        <v>318</v>
      </c>
    </row>
    <row r="24" spans="1:16" x14ac:dyDescent="0.2">
      <c r="A24" s="2"/>
      <c r="B24" s="25" t="s">
        <v>339</v>
      </c>
      <c r="C24" s="4">
        <v>1</v>
      </c>
      <c r="D24" s="39">
        <f>LiCor_Leveling_Base!$E$32</f>
        <v>9.9203666669999997</v>
      </c>
      <c r="E24" s="26">
        <f t="shared" si="0"/>
        <v>9.9203666669999997</v>
      </c>
      <c r="F24" s="21">
        <f>LiCor_Leveling_Base!$G$32</f>
        <v>9.9203666669999997</v>
      </c>
      <c r="G24" s="20">
        <f t="shared" si="1"/>
        <v>99.20366666999999</v>
      </c>
      <c r="H24" s="21">
        <f>LiCor_Leveling_Base!$I$32</f>
        <v>9.9203666669999997</v>
      </c>
      <c r="I24" s="20">
        <f t="shared" si="2"/>
        <v>248.00916667499999</v>
      </c>
      <c r="J24" s="78">
        <f>D24</f>
        <v>9.9203666669999997</v>
      </c>
      <c r="K24" s="78">
        <f t="shared" si="3"/>
        <v>119.044400004</v>
      </c>
      <c r="L24" s="2" t="s">
        <v>340</v>
      </c>
      <c r="M24" s="29" t="s">
        <v>340</v>
      </c>
      <c r="N24" s="29" t="s">
        <v>340</v>
      </c>
      <c r="O24" s="19" t="s">
        <v>340</v>
      </c>
      <c r="P24" s="43" t="s">
        <v>341</v>
      </c>
    </row>
    <row r="25" spans="1:16" x14ac:dyDescent="0.2">
      <c r="A25" s="2"/>
      <c r="B25" s="25" t="s">
        <v>346</v>
      </c>
      <c r="C25" s="4">
        <v>2</v>
      </c>
      <c r="D25" s="39">
        <f>3.3/100</f>
        <v>3.3000000000000002E-2</v>
      </c>
      <c r="E25" s="26">
        <f t="shared" si="0"/>
        <v>6.6000000000000003E-2</v>
      </c>
      <c r="F25" s="21">
        <f>D25</f>
        <v>3.3000000000000002E-2</v>
      </c>
      <c r="G25" s="20">
        <f t="shared" si="1"/>
        <v>0.66</v>
      </c>
      <c r="H25" s="21">
        <f>D25</f>
        <v>3.3000000000000002E-2</v>
      </c>
      <c r="I25" s="20">
        <f t="shared" si="2"/>
        <v>1.6500000000000001</v>
      </c>
      <c r="J25" s="78">
        <f>D25</f>
        <v>3.3000000000000002E-2</v>
      </c>
      <c r="K25" s="78">
        <f t="shared" si="3"/>
        <v>0.39600000000000002</v>
      </c>
      <c r="L25" s="2" t="s">
        <v>319</v>
      </c>
      <c r="M25" s="29" t="s">
        <v>347</v>
      </c>
      <c r="N25" s="29" t="s">
        <v>18</v>
      </c>
      <c r="O25" s="19" t="s">
        <v>348</v>
      </c>
      <c r="P25" s="43" t="s">
        <v>352</v>
      </c>
    </row>
    <row r="26" spans="1:16" x14ac:dyDescent="0.2">
      <c r="A26" s="2"/>
      <c r="B26" s="25" t="s">
        <v>349</v>
      </c>
      <c r="C26" s="4">
        <v>2</v>
      </c>
      <c r="D26" s="39">
        <v>0.69899999999999995</v>
      </c>
      <c r="E26" s="26">
        <f t="shared" si="0"/>
        <v>1.3979999999999999</v>
      </c>
      <c r="F26" s="21">
        <f>D26</f>
        <v>0.69899999999999995</v>
      </c>
      <c r="G26" s="20">
        <f t="shared" si="1"/>
        <v>13.979999999999999</v>
      </c>
      <c r="H26" s="21">
        <f>D26</f>
        <v>0.69899999999999995</v>
      </c>
      <c r="I26" s="20">
        <f t="shared" si="2"/>
        <v>34.949999999999996</v>
      </c>
      <c r="J26" s="78">
        <f>D26</f>
        <v>0.69899999999999995</v>
      </c>
      <c r="K26" s="78">
        <f t="shared" si="3"/>
        <v>8.3879999999999999</v>
      </c>
      <c r="L26" s="2" t="s">
        <v>319</v>
      </c>
      <c r="M26" s="29" t="s">
        <v>385</v>
      </c>
      <c r="N26" s="29" t="s">
        <v>18</v>
      </c>
      <c r="O26" s="19" t="s">
        <v>386</v>
      </c>
      <c r="P26" s="43" t="s">
        <v>351</v>
      </c>
    </row>
    <row r="27" spans="1:16" x14ac:dyDescent="0.2">
      <c r="A27" s="2"/>
      <c r="B27" s="25" t="s">
        <v>353</v>
      </c>
      <c r="C27" s="4">
        <v>1</v>
      </c>
      <c r="D27" s="39">
        <v>4.55</v>
      </c>
      <c r="E27" s="26">
        <f t="shared" si="0"/>
        <v>4.55</v>
      </c>
      <c r="F27" s="21">
        <f>D27</f>
        <v>4.55</v>
      </c>
      <c r="G27" s="20">
        <f t="shared" si="1"/>
        <v>45.5</v>
      </c>
      <c r="H27" s="21">
        <f>D27</f>
        <v>4.55</v>
      </c>
      <c r="I27" s="20">
        <f t="shared" si="2"/>
        <v>113.75</v>
      </c>
      <c r="J27" s="78">
        <f>D27</f>
        <v>4.55</v>
      </c>
      <c r="K27" s="78">
        <f t="shared" si="3"/>
        <v>54.599999999999994</v>
      </c>
      <c r="L27" s="2" t="s">
        <v>354</v>
      </c>
      <c r="M27" s="29" t="s">
        <v>355</v>
      </c>
      <c r="N27" s="29" t="s">
        <v>18</v>
      </c>
      <c r="O27" s="19" t="s">
        <v>356</v>
      </c>
      <c r="P27" s="43" t="s">
        <v>357</v>
      </c>
    </row>
    <row r="28" spans="1:16" x14ac:dyDescent="0.2">
      <c r="A28" s="2"/>
      <c r="B28" s="3"/>
      <c r="C28" s="4"/>
      <c r="D28" s="39"/>
      <c r="E28" s="26">
        <f t="shared" si="0"/>
        <v>0</v>
      </c>
      <c r="F28" s="21"/>
      <c r="G28" s="20">
        <f t="shared" si="1"/>
        <v>0</v>
      </c>
      <c r="H28" s="21"/>
      <c r="I28" s="20">
        <f t="shared" si="2"/>
        <v>0</v>
      </c>
      <c r="J28" s="78"/>
      <c r="K28" s="78">
        <f t="shared" si="3"/>
        <v>0</v>
      </c>
      <c r="L28" s="2"/>
      <c r="M28" s="29"/>
      <c r="N28" s="29"/>
      <c r="O28" s="4"/>
      <c r="P28" s="43"/>
    </row>
    <row r="29" spans="1:16" x14ac:dyDescent="0.2">
      <c r="A29" s="2"/>
      <c r="B29" s="3"/>
      <c r="C29" s="4"/>
      <c r="D29" s="39"/>
      <c r="E29" s="26">
        <f t="shared" si="0"/>
        <v>0</v>
      </c>
      <c r="F29" s="21"/>
      <c r="G29" s="20">
        <f t="shared" si="1"/>
        <v>0</v>
      </c>
      <c r="H29" s="21"/>
      <c r="I29" s="20">
        <f t="shared" si="2"/>
        <v>0</v>
      </c>
      <c r="J29" s="78"/>
      <c r="K29" s="78">
        <f t="shared" si="3"/>
        <v>0</v>
      </c>
      <c r="L29" s="2"/>
      <c r="M29" s="29"/>
      <c r="N29" s="29"/>
      <c r="O29" s="4"/>
      <c r="P29" s="43"/>
    </row>
    <row r="30" spans="1:16" ht="17" thickBot="1" x14ac:dyDescent="0.25">
      <c r="A30" s="5"/>
      <c r="B30" s="6"/>
      <c r="C30" s="7"/>
      <c r="D30" s="40"/>
      <c r="E30" s="15">
        <f t="shared" si="0"/>
        <v>0</v>
      </c>
      <c r="F30" s="23"/>
      <c r="G30" s="22">
        <f t="shared" si="1"/>
        <v>0</v>
      </c>
      <c r="H30" s="23"/>
      <c r="I30" s="22">
        <f t="shared" si="2"/>
        <v>0</v>
      </c>
      <c r="J30" s="79"/>
      <c r="K30" s="79">
        <f t="shared" si="3"/>
        <v>0</v>
      </c>
      <c r="L30" s="5"/>
      <c r="M30" s="33"/>
      <c r="N30" s="33"/>
      <c r="O30" s="7"/>
      <c r="P30" s="44"/>
    </row>
    <row r="31" spans="1:16" x14ac:dyDescent="0.2">
      <c r="D31" s="24" t="s">
        <v>12</v>
      </c>
      <c r="E31" s="24">
        <f>SUM(E4:E30)</f>
        <v>1067.3508833333333</v>
      </c>
      <c r="F31" s="24" t="s">
        <v>12</v>
      </c>
      <c r="G31" s="24">
        <f t="shared" ref="G31:I31" si="4">SUM(G4:G30)</f>
        <v>10141.378833333332</v>
      </c>
      <c r="H31" s="24" t="s">
        <v>12</v>
      </c>
      <c r="I31" s="24">
        <f t="shared" si="4"/>
        <v>25322.44708333334</v>
      </c>
      <c r="J31" s="24" t="s">
        <v>12</v>
      </c>
      <c r="K31" s="24">
        <f>SUM(K4:K30)</f>
        <v>12579.650600000003</v>
      </c>
      <c r="N31" s="30"/>
    </row>
    <row r="32" spans="1:16" x14ac:dyDescent="0.2">
      <c r="D32" t="s">
        <v>13</v>
      </c>
      <c r="E32" s="24">
        <f>E31</f>
        <v>1067.3508833333333</v>
      </c>
      <c r="F32" t="s">
        <v>13</v>
      </c>
      <c r="G32" s="35">
        <f>G31/10</f>
        <v>1014.1378833333332</v>
      </c>
      <c r="H32" t="s">
        <v>13</v>
      </c>
      <c r="I32" s="35">
        <f>I31/25</f>
        <v>1012.8978833333335</v>
      </c>
      <c r="J32" t="s">
        <v>13</v>
      </c>
      <c r="K32" s="35">
        <f>K31/K1</f>
        <v>1048.3042166666669</v>
      </c>
      <c r="N32" s="30"/>
    </row>
  </sheetData>
  <mergeCells count="7">
    <mergeCell ref="P2:P3"/>
    <mergeCell ref="A2:B2"/>
    <mergeCell ref="D2:E2"/>
    <mergeCell ref="F2:G2"/>
    <mergeCell ref="H2:I2"/>
    <mergeCell ref="L2:O2"/>
    <mergeCell ref="J2:K2"/>
  </mergeCells>
  <hyperlinks>
    <hyperlink ref="O9" r:id="rId1"/>
    <hyperlink ref="O10" r:id="rId2"/>
    <hyperlink ref="O11" r:id="rId3"/>
    <hyperlink ref="O26" r:id="rId4" location="5415k18/=178w5hq"/>
    <hyperlink ref="O27" r:id="rId5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activeCell="B40" sqref="B40"/>
    </sheetView>
  </sheetViews>
  <sheetFormatPr baseColWidth="10" defaultRowHeight="16" x14ac:dyDescent="0.2"/>
  <cols>
    <col min="1" max="1" width="7.6640625" bestFit="1" customWidth="1"/>
    <col min="2" max="2" width="27.83203125" bestFit="1" customWidth="1"/>
    <col min="3" max="3" width="21.83203125" bestFit="1" customWidth="1"/>
    <col min="4" max="4" width="24" style="52" bestFit="1" customWidth="1"/>
    <col min="5" max="5" width="32.5" bestFit="1" customWidth="1"/>
    <col min="6" max="6" width="14" bestFit="1" customWidth="1"/>
    <col min="7" max="7" width="19.6640625" bestFit="1" customWidth="1"/>
    <col min="8" max="8" width="16.83203125" bestFit="1" customWidth="1"/>
    <col min="9" max="9" width="19.6640625" bestFit="1" customWidth="1"/>
    <col min="10" max="10" width="16.83203125" bestFit="1" customWidth="1"/>
    <col min="11" max="11" width="19.6640625" bestFit="1" customWidth="1"/>
    <col min="12" max="12" width="16.83203125" bestFit="1" customWidth="1"/>
    <col min="13" max="13" width="8.5" bestFit="1" customWidth="1"/>
    <col min="14" max="14" width="20.83203125" bestFit="1" customWidth="1"/>
    <col min="15" max="15" width="18.33203125" style="30" bestFit="1" customWidth="1"/>
    <col min="16" max="16" width="138.1640625" bestFit="1" customWidth="1"/>
    <col min="17" max="17" width="98" bestFit="1" customWidth="1"/>
  </cols>
  <sheetData>
    <row r="1" spans="1:17" ht="17" thickBot="1" x14ac:dyDescent="0.25">
      <c r="A1" s="96" t="s">
        <v>60</v>
      </c>
      <c r="B1" s="96"/>
      <c r="C1" s="50" t="s">
        <v>61</v>
      </c>
      <c r="D1" s="3" t="s">
        <v>29</v>
      </c>
      <c r="E1" t="s">
        <v>77</v>
      </c>
    </row>
    <row r="2" spans="1:17" ht="17" thickBot="1" x14ac:dyDescent="0.25">
      <c r="A2" s="89" t="s">
        <v>5</v>
      </c>
      <c r="B2" s="93"/>
      <c r="C2" s="90"/>
      <c r="D2" s="90"/>
      <c r="E2" s="90"/>
      <c r="F2" s="17"/>
      <c r="G2" s="89" t="s">
        <v>152</v>
      </c>
      <c r="H2" s="91"/>
      <c r="I2" s="92" t="s">
        <v>153</v>
      </c>
      <c r="J2" s="91"/>
      <c r="K2" s="89" t="s">
        <v>154</v>
      </c>
      <c r="L2" s="91"/>
      <c r="M2" s="89" t="s">
        <v>8</v>
      </c>
      <c r="N2" s="93"/>
      <c r="O2" s="90"/>
      <c r="P2" s="91"/>
      <c r="Q2" s="87" t="s">
        <v>27</v>
      </c>
    </row>
    <row r="3" spans="1:17" ht="18" thickTop="1" thickBot="1" x14ac:dyDescent="0.25">
      <c r="A3" s="10" t="s">
        <v>56</v>
      </c>
      <c r="B3" s="11" t="s">
        <v>52</v>
      </c>
      <c r="C3" s="16" t="s">
        <v>53</v>
      </c>
      <c r="D3" s="51" t="s">
        <v>54</v>
      </c>
      <c r="E3" s="16" t="s">
        <v>55</v>
      </c>
      <c r="F3" s="18" t="s">
        <v>9</v>
      </c>
      <c r="G3" s="10" t="s">
        <v>155</v>
      </c>
      <c r="H3" s="28" t="s">
        <v>156</v>
      </c>
      <c r="I3" s="36" t="s">
        <v>155</v>
      </c>
      <c r="J3" s="28" t="s">
        <v>156</v>
      </c>
      <c r="K3" s="12" t="s">
        <v>155</v>
      </c>
      <c r="L3" s="28" t="s">
        <v>156</v>
      </c>
      <c r="M3" s="12" t="s">
        <v>2</v>
      </c>
      <c r="N3" s="14" t="s">
        <v>42</v>
      </c>
      <c r="O3" s="31" t="s">
        <v>10</v>
      </c>
      <c r="P3" s="13" t="s">
        <v>91</v>
      </c>
      <c r="Q3" s="88"/>
    </row>
    <row r="4" spans="1:17" x14ac:dyDescent="0.2">
      <c r="A4" s="8" t="s">
        <v>57</v>
      </c>
      <c r="B4" s="9" t="s">
        <v>219</v>
      </c>
      <c r="C4" s="9" t="s">
        <v>179</v>
      </c>
      <c r="D4" s="48" t="s">
        <v>180</v>
      </c>
      <c r="E4" s="9" t="s">
        <v>30</v>
      </c>
      <c r="F4" s="45">
        <v>13</v>
      </c>
      <c r="G4" s="66">
        <v>0.38</v>
      </c>
      <c r="H4" s="38">
        <f t="shared" ref="H4:H37" si="0">F4*G4</f>
        <v>4.9400000000000004</v>
      </c>
      <c r="I4" s="71">
        <v>0.36399999999999999</v>
      </c>
      <c r="J4" s="42">
        <f t="shared" ref="J4:J37" si="1">F4*I4*10</f>
        <v>47.32</v>
      </c>
      <c r="K4" s="71">
        <v>0.312</v>
      </c>
      <c r="L4" s="42">
        <f t="shared" ref="L4:L37" si="2">F4*K4*25</f>
        <v>101.4</v>
      </c>
      <c r="M4" s="8" t="s">
        <v>41</v>
      </c>
      <c r="N4" s="9" t="s">
        <v>181</v>
      </c>
      <c r="O4" s="48" t="s">
        <v>59</v>
      </c>
      <c r="P4" s="49" t="s">
        <v>184</v>
      </c>
      <c r="Q4" s="4"/>
    </row>
    <row r="5" spans="1:17" x14ac:dyDescent="0.2">
      <c r="A5" s="2" t="s">
        <v>57</v>
      </c>
      <c r="B5" s="3" t="s">
        <v>186</v>
      </c>
      <c r="C5" s="3" t="s">
        <v>179</v>
      </c>
      <c r="D5" s="29" t="s">
        <v>182</v>
      </c>
      <c r="E5" s="3" t="s">
        <v>31</v>
      </c>
      <c r="F5" s="4">
        <v>4</v>
      </c>
      <c r="G5" s="67">
        <v>0.67</v>
      </c>
      <c r="H5" s="26">
        <f t="shared" si="0"/>
        <v>2.68</v>
      </c>
      <c r="I5" s="72">
        <v>0.624</v>
      </c>
      <c r="J5" s="20">
        <f t="shared" si="1"/>
        <v>24.96</v>
      </c>
      <c r="K5" s="72">
        <v>0.56159999999999999</v>
      </c>
      <c r="L5" s="20">
        <f t="shared" si="2"/>
        <v>56.16</v>
      </c>
      <c r="M5" s="2" t="s">
        <v>41</v>
      </c>
      <c r="N5" s="3" t="s">
        <v>183</v>
      </c>
      <c r="O5" s="29" t="s">
        <v>59</v>
      </c>
      <c r="P5" s="19" t="s">
        <v>185</v>
      </c>
      <c r="Q5" s="4"/>
    </row>
    <row r="6" spans="1:17" x14ac:dyDescent="0.2">
      <c r="A6" s="2" t="s">
        <v>57</v>
      </c>
      <c r="B6" s="3" t="s">
        <v>43</v>
      </c>
      <c r="C6" s="25" t="s">
        <v>79</v>
      </c>
      <c r="D6" s="29" t="s">
        <v>62</v>
      </c>
      <c r="E6" s="25" t="s">
        <v>63</v>
      </c>
      <c r="F6" s="4">
        <v>1</v>
      </c>
      <c r="G6" s="67">
        <v>6.2</v>
      </c>
      <c r="H6" s="26">
        <f t="shared" si="0"/>
        <v>6.2</v>
      </c>
      <c r="I6" s="72">
        <v>5.7</v>
      </c>
      <c r="J6" s="20">
        <f t="shared" si="1"/>
        <v>57</v>
      </c>
      <c r="K6" s="72">
        <v>5.43</v>
      </c>
      <c r="L6" s="20">
        <f t="shared" si="2"/>
        <v>135.75</v>
      </c>
      <c r="M6" s="2" t="s">
        <v>15</v>
      </c>
      <c r="N6" s="3" t="s">
        <v>38</v>
      </c>
      <c r="O6" s="32" t="s">
        <v>39</v>
      </c>
      <c r="P6" s="19" t="s">
        <v>40</v>
      </c>
      <c r="Q6" s="4"/>
    </row>
    <row r="7" spans="1:17" x14ac:dyDescent="0.2">
      <c r="A7" s="54" t="s">
        <v>99</v>
      </c>
      <c r="B7" s="55" t="s">
        <v>71</v>
      </c>
      <c r="C7" s="55" t="s">
        <v>80</v>
      </c>
      <c r="D7" s="56" t="s">
        <v>72</v>
      </c>
      <c r="E7" s="55" t="s">
        <v>73</v>
      </c>
      <c r="F7" s="57">
        <v>1</v>
      </c>
      <c r="G7" s="68">
        <v>0.22</v>
      </c>
      <c r="H7" s="58">
        <f t="shared" si="0"/>
        <v>0.22</v>
      </c>
      <c r="I7" s="73">
        <v>0.153</v>
      </c>
      <c r="J7" s="59">
        <f t="shared" si="1"/>
        <v>1.53</v>
      </c>
      <c r="K7" s="73">
        <v>0.1124</v>
      </c>
      <c r="L7" s="59">
        <f t="shared" si="2"/>
        <v>2.81</v>
      </c>
      <c r="M7" s="54" t="s">
        <v>41</v>
      </c>
      <c r="N7" s="55" t="s">
        <v>74</v>
      </c>
      <c r="O7" s="56" t="s">
        <v>75</v>
      </c>
      <c r="P7" s="60" t="s">
        <v>76</v>
      </c>
      <c r="Q7" s="57"/>
    </row>
    <row r="8" spans="1:17" x14ac:dyDescent="0.2">
      <c r="A8" s="2" t="s">
        <v>57</v>
      </c>
      <c r="B8" s="25" t="s">
        <v>44</v>
      </c>
      <c r="C8" s="25" t="s">
        <v>64</v>
      </c>
      <c r="D8" s="32" t="s">
        <v>65</v>
      </c>
      <c r="E8" s="25" t="s">
        <v>23</v>
      </c>
      <c r="F8" s="4">
        <v>1</v>
      </c>
      <c r="G8" s="67">
        <v>1.74</v>
      </c>
      <c r="H8" s="26">
        <f t="shared" ref="H8:H13" si="3">F8*G8</f>
        <v>1.74</v>
      </c>
      <c r="I8" s="72">
        <v>1.74</v>
      </c>
      <c r="J8" s="20">
        <f t="shared" ref="J8:J13" si="4">F8*I8*10</f>
        <v>17.399999999999999</v>
      </c>
      <c r="K8" s="72">
        <v>1.49</v>
      </c>
      <c r="L8" s="20">
        <f t="shared" ref="L8:L13" si="5">F8*K8*25</f>
        <v>37.25</v>
      </c>
      <c r="M8" s="2" t="s">
        <v>24</v>
      </c>
      <c r="N8" s="3" t="s">
        <v>25</v>
      </c>
      <c r="O8" s="32" t="s">
        <v>18</v>
      </c>
      <c r="P8" s="27" t="s">
        <v>26</v>
      </c>
      <c r="Q8" s="4"/>
    </row>
    <row r="9" spans="1:17" x14ac:dyDescent="0.2">
      <c r="A9" s="2" t="s">
        <v>57</v>
      </c>
      <c r="B9" s="3" t="s">
        <v>45</v>
      </c>
      <c r="C9" s="25" t="s">
        <v>67</v>
      </c>
      <c r="D9" s="29" t="s">
        <v>66</v>
      </c>
      <c r="E9" s="25" t="s">
        <v>14</v>
      </c>
      <c r="F9" s="4">
        <v>1</v>
      </c>
      <c r="G9" s="67">
        <v>9.9700000000000006</v>
      </c>
      <c r="H9" s="26">
        <f t="shared" si="3"/>
        <v>9.9700000000000006</v>
      </c>
      <c r="I9" s="72">
        <v>9.41</v>
      </c>
      <c r="J9" s="20">
        <f t="shared" si="4"/>
        <v>94.1</v>
      </c>
      <c r="K9" s="72">
        <v>7.5275999999999996</v>
      </c>
      <c r="L9" s="20">
        <f t="shared" si="5"/>
        <v>188.19</v>
      </c>
      <c r="M9" s="2" t="s">
        <v>41</v>
      </c>
      <c r="N9" s="3" t="s">
        <v>94</v>
      </c>
      <c r="O9" s="32" t="s">
        <v>16</v>
      </c>
      <c r="P9" s="19" t="s">
        <v>95</v>
      </c>
      <c r="Q9" s="4"/>
    </row>
    <row r="10" spans="1:17" x14ac:dyDescent="0.2">
      <c r="A10" s="2" t="s">
        <v>57</v>
      </c>
      <c r="B10" s="25" t="s">
        <v>220</v>
      </c>
      <c r="C10" s="25" t="s">
        <v>86</v>
      </c>
      <c r="D10" s="29" t="s">
        <v>87</v>
      </c>
      <c r="E10" s="25" t="s">
        <v>88</v>
      </c>
      <c r="F10" s="4">
        <v>12</v>
      </c>
      <c r="G10" s="67">
        <v>0.1</v>
      </c>
      <c r="H10" s="26">
        <f t="shared" si="3"/>
        <v>1.2000000000000002</v>
      </c>
      <c r="I10" s="72">
        <v>2.1000000000000001E-2</v>
      </c>
      <c r="J10" s="20">
        <f t="shared" si="4"/>
        <v>2.52</v>
      </c>
      <c r="K10" s="72">
        <v>1.52E-2</v>
      </c>
      <c r="L10" s="20">
        <f t="shared" si="5"/>
        <v>4.5600000000000005</v>
      </c>
      <c r="M10" s="2" t="s">
        <v>41</v>
      </c>
      <c r="N10" s="3" t="s">
        <v>89</v>
      </c>
      <c r="O10" s="32" t="s">
        <v>84</v>
      </c>
      <c r="P10" s="19" t="s">
        <v>90</v>
      </c>
      <c r="Q10" s="4"/>
    </row>
    <row r="11" spans="1:17" x14ac:dyDescent="0.2">
      <c r="A11" s="2" t="s">
        <v>57</v>
      </c>
      <c r="B11" s="25" t="s">
        <v>169</v>
      </c>
      <c r="C11" s="25" t="s">
        <v>78</v>
      </c>
      <c r="D11" s="29" t="s">
        <v>81</v>
      </c>
      <c r="E11" s="25" t="s">
        <v>82</v>
      </c>
      <c r="F11" s="4">
        <v>3</v>
      </c>
      <c r="G11" s="67">
        <v>0.25</v>
      </c>
      <c r="H11" s="26">
        <f t="shared" si="3"/>
        <v>0.75</v>
      </c>
      <c r="I11" s="72">
        <v>0.20799999999999999</v>
      </c>
      <c r="J11" s="20">
        <f t="shared" si="4"/>
        <v>6.24</v>
      </c>
      <c r="K11" s="72">
        <f>I11</f>
        <v>0.20799999999999999</v>
      </c>
      <c r="L11" s="20">
        <f t="shared" si="5"/>
        <v>15.6</v>
      </c>
      <c r="M11" s="2" t="s">
        <v>41</v>
      </c>
      <c r="N11" s="3" t="s">
        <v>83</v>
      </c>
      <c r="O11" s="32" t="s">
        <v>84</v>
      </c>
      <c r="P11" s="19" t="s">
        <v>85</v>
      </c>
      <c r="Q11" s="4"/>
    </row>
    <row r="12" spans="1:17" x14ac:dyDescent="0.2">
      <c r="A12" s="2" t="s">
        <v>57</v>
      </c>
      <c r="B12" s="3" t="s">
        <v>46</v>
      </c>
      <c r="C12" s="25" t="s">
        <v>68</v>
      </c>
      <c r="D12" s="29" t="s">
        <v>69</v>
      </c>
      <c r="E12" s="25" t="s">
        <v>17</v>
      </c>
      <c r="F12" s="4">
        <v>1</v>
      </c>
      <c r="G12" s="67">
        <v>0.57999999999999996</v>
      </c>
      <c r="H12" s="26">
        <f t="shared" si="3"/>
        <v>0.57999999999999996</v>
      </c>
      <c r="I12" s="72">
        <v>0.54500000000000004</v>
      </c>
      <c r="J12" s="20">
        <f t="shared" si="4"/>
        <v>5.45</v>
      </c>
      <c r="K12" s="72">
        <f>I12</f>
        <v>0.54500000000000004</v>
      </c>
      <c r="L12" s="20">
        <f t="shared" si="5"/>
        <v>13.625000000000002</v>
      </c>
      <c r="M12" s="2" t="s">
        <v>41</v>
      </c>
      <c r="N12" s="3" t="s">
        <v>92</v>
      </c>
      <c r="O12" s="32" t="s">
        <v>58</v>
      </c>
      <c r="P12" s="19" t="s">
        <v>93</v>
      </c>
      <c r="Q12" s="4"/>
    </row>
    <row r="13" spans="1:17" x14ac:dyDescent="0.2">
      <c r="A13" s="2" t="s">
        <v>57</v>
      </c>
      <c r="B13" s="25" t="s">
        <v>217</v>
      </c>
      <c r="C13" s="25" t="s">
        <v>144</v>
      </c>
      <c r="D13" s="29" t="s">
        <v>145</v>
      </c>
      <c r="E13" s="25" t="s">
        <v>20</v>
      </c>
      <c r="F13" s="4">
        <v>1</v>
      </c>
      <c r="G13" s="67">
        <v>0.27</v>
      </c>
      <c r="H13" s="26">
        <f t="shared" si="3"/>
        <v>0.27</v>
      </c>
      <c r="I13" s="72">
        <v>0.19600000000000001</v>
      </c>
      <c r="J13" s="20">
        <f t="shared" si="4"/>
        <v>1.96</v>
      </c>
      <c r="K13" s="72">
        <v>0.14480000000000001</v>
      </c>
      <c r="L13" s="20">
        <f t="shared" si="5"/>
        <v>3.62</v>
      </c>
      <c r="M13" s="2" t="s">
        <v>41</v>
      </c>
      <c r="N13" s="3" t="s">
        <v>146</v>
      </c>
      <c r="O13" s="32" t="s">
        <v>147</v>
      </c>
      <c r="P13" s="19" t="s">
        <v>148</v>
      </c>
      <c r="Q13" s="4"/>
    </row>
    <row r="14" spans="1:17" x14ac:dyDescent="0.2">
      <c r="A14" s="2" t="s">
        <v>57</v>
      </c>
      <c r="B14" s="25" t="s">
        <v>218</v>
      </c>
      <c r="C14" s="25" t="s">
        <v>144</v>
      </c>
      <c r="D14" s="32" t="s">
        <v>149</v>
      </c>
      <c r="E14" s="25" t="s">
        <v>21</v>
      </c>
      <c r="F14" s="4">
        <v>1</v>
      </c>
      <c r="G14" s="67">
        <v>0.27</v>
      </c>
      <c r="H14" s="26">
        <f t="shared" si="0"/>
        <v>0.27</v>
      </c>
      <c r="I14" s="72">
        <v>0.19600000000000001</v>
      </c>
      <c r="J14" s="20">
        <f t="shared" si="1"/>
        <v>1.96</v>
      </c>
      <c r="K14" s="72">
        <v>0.14480000000000001</v>
      </c>
      <c r="L14" s="20">
        <f t="shared" si="2"/>
        <v>3.62</v>
      </c>
      <c r="M14" s="2" t="s">
        <v>41</v>
      </c>
      <c r="N14" s="3" t="s">
        <v>150</v>
      </c>
      <c r="O14" s="32" t="s">
        <v>147</v>
      </c>
      <c r="P14" s="19" t="s">
        <v>151</v>
      </c>
      <c r="Q14" s="4"/>
    </row>
    <row r="15" spans="1:17" x14ac:dyDescent="0.2">
      <c r="A15" s="2" t="s">
        <v>57</v>
      </c>
      <c r="B15" s="25" t="s">
        <v>233</v>
      </c>
      <c r="C15" s="25" t="s">
        <v>86</v>
      </c>
      <c r="D15" s="32" t="s">
        <v>229</v>
      </c>
      <c r="E15" s="25" t="s">
        <v>228</v>
      </c>
      <c r="F15" s="4">
        <v>5</v>
      </c>
      <c r="G15" s="67">
        <v>0.1</v>
      </c>
      <c r="H15" s="26">
        <f t="shared" si="0"/>
        <v>0.5</v>
      </c>
      <c r="I15" s="72">
        <v>2.1000000000000001E-2</v>
      </c>
      <c r="J15" s="20">
        <f t="shared" si="1"/>
        <v>1.05</v>
      </c>
      <c r="K15" s="72">
        <v>1.52E-2</v>
      </c>
      <c r="L15" s="20">
        <f t="shared" si="2"/>
        <v>1.9</v>
      </c>
      <c r="M15" s="2" t="s">
        <v>41</v>
      </c>
      <c r="N15" s="3" t="s">
        <v>230</v>
      </c>
      <c r="O15" s="32" t="s">
        <v>84</v>
      </c>
      <c r="P15" s="19" t="s">
        <v>231</v>
      </c>
      <c r="Q15" s="4"/>
    </row>
    <row r="16" spans="1:17" x14ac:dyDescent="0.2">
      <c r="A16" s="2" t="s">
        <v>57</v>
      </c>
      <c r="B16" s="25" t="s">
        <v>139</v>
      </c>
      <c r="C16" s="25" t="s">
        <v>86</v>
      </c>
      <c r="D16" s="32" t="s">
        <v>140</v>
      </c>
      <c r="E16" s="25" t="s">
        <v>141</v>
      </c>
      <c r="F16" s="4">
        <v>2</v>
      </c>
      <c r="G16" s="67">
        <v>0.1</v>
      </c>
      <c r="H16" s="26">
        <f t="shared" si="0"/>
        <v>0.2</v>
      </c>
      <c r="I16" s="72">
        <v>2.1000000000000001E-2</v>
      </c>
      <c r="J16" s="20">
        <f t="shared" si="1"/>
        <v>0.42000000000000004</v>
      </c>
      <c r="K16" s="72">
        <v>1.52E-2</v>
      </c>
      <c r="L16" s="20">
        <f t="shared" si="2"/>
        <v>0.76</v>
      </c>
      <c r="M16" s="2" t="s">
        <v>41</v>
      </c>
      <c r="N16" s="3" t="s">
        <v>142</v>
      </c>
      <c r="O16" s="32" t="s">
        <v>84</v>
      </c>
      <c r="P16" s="19" t="s">
        <v>143</v>
      </c>
      <c r="Q16" s="4"/>
    </row>
    <row r="17" spans="1:17" x14ac:dyDescent="0.2">
      <c r="A17" s="2" t="s">
        <v>57</v>
      </c>
      <c r="B17" s="25" t="s">
        <v>234</v>
      </c>
      <c r="C17" s="25" t="s">
        <v>100</v>
      </c>
      <c r="D17" s="32" t="s">
        <v>135</v>
      </c>
      <c r="E17" s="25" t="s">
        <v>136</v>
      </c>
      <c r="F17" s="4">
        <v>5</v>
      </c>
      <c r="G17" s="67">
        <v>0.16</v>
      </c>
      <c r="H17" s="26">
        <f t="shared" si="0"/>
        <v>0.8</v>
      </c>
      <c r="I17" s="72">
        <v>0.14199999999999999</v>
      </c>
      <c r="J17" s="20">
        <f t="shared" si="1"/>
        <v>7.1</v>
      </c>
      <c r="K17" s="72">
        <f>I17</f>
        <v>0.14199999999999999</v>
      </c>
      <c r="L17" s="20">
        <f t="shared" si="2"/>
        <v>17.75</v>
      </c>
      <c r="M17" s="2" t="s">
        <v>41</v>
      </c>
      <c r="N17" s="3" t="s">
        <v>137</v>
      </c>
      <c r="O17" s="32" t="s">
        <v>104</v>
      </c>
      <c r="P17" s="19" t="s">
        <v>138</v>
      </c>
      <c r="Q17" s="4"/>
    </row>
    <row r="18" spans="1:17" x14ac:dyDescent="0.2">
      <c r="A18" s="2" t="s">
        <v>57</v>
      </c>
      <c r="B18" s="25" t="s">
        <v>170</v>
      </c>
      <c r="C18" s="25" t="s">
        <v>157</v>
      </c>
      <c r="D18" s="32" t="s">
        <v>158</v>
      </c>
      <c r="E18" s="25" t="s">
        <v>159</v>
      </c>
      <c r="F18" s="4">
        <v>1</v>
      </c>
      <c r="G18" s="67">
        <v>0.11</v>
      </c>
      <c r="H18" s="26">
        <f t="shared" si="0"/>
        <v>0.11</v>
      </c>
      <c r="I18" s="72">
        <v>8.7999999999999995E-2</v>
      </c>
      <c r="J18" s="20">
        <f t="shared" si="1"/>
        <v>0.87999999999999989</v>
      </c>
      <c r="K18" s="72">
        <f>I18</f>
        <v>8.7999999999999995E-2</v>
      </c>
      <c r="L18" s="20">
        <f t="shared" si="2"/>
        <v>2.1999999999999997</v>
      </c>
      <c r="M18" s="2" t="s">
        <v>41</v>
      </c>
      <c r="N18" s="3" t="s">
        <v>161</v>
      </c>
      <c r="O18" s="32" t="s">
        <v>84</v>
      </c>
      <c r="P18" s="19" t="s">
        <v>160</v>
      </c>
      <c r="Q18" s="4"/>
    </row>
    <row r="19" spans="1:17" x14ac:dyDescent="0.2">
      <c r="A19" s="2" t="s">
        <v>57</v>
      </c>
      <c r="B19" s="25" t="s">
        <v>171</v>
      </c>
      <c r="C19" s="25" t="s">
        <v>172</v>
      </c>
      <c r="D19" s="32" t="s">
        <v>173</v>
      </c>
      <c r="E19" s="25" t="s">
        <v>174</v>
      </c>
      <c r="F19" s="4">
        <v>1</v>
      </c>
      <c r="G19" s="67">
        <v>0.1</v>
      </c>
      <c r="H19" s="26">
        <f t="shared" si="0"/>
        <v>0.1</v>
      </c>
      <c r="I19" s="72">
        <v>7.2999999999999995E-2</v>
      </c>
      <c r="J19" s="20">
        <f t="shared" si="1"/>
        <v>0.73</v>
      </c>
      <c r="K19" s="72">
        <v>5.28E-2</v>
      </c>
      <c r="L19" s="20">
        <f t="shared" si="2"/>
        <v>1.32</v>
      </c>
      <c r="M19" s="2" t="s">
        <v>41</v>
      </c>
      <c r="N19" s="3" t="s">
        <v>175</v>
      </c>
      <c r="O19" s="32" t="s">
        <v>84</v>
      </c>
      <c r="P19" s="19" t="s">
        <v>176</v>
      </c>
      <c r="Q19" s="4"/>
    </row>
    <row r="20" spans="1:17" x14ac:dyDescent="0.2">
      <c r="A20" s="2" t="s">
        <v>57</v>
      </c>
      <c r="B20" s="25" t="s">
        <v>162</v>
      </c>
      <c r="C20" s="25" t="s">
        <v>117</v>
      </c>
      <c r="D20" s="32" t="s">
        <v>163</v>
      </c>
      <c r="E20" s="25" t="s">
        <v>164</v>
      </c>
      <c r="F20" s="4">
        <v>1</v>
      </c>
      <c r="G20" s="67">
        <v>5.65</v>
      </c>
      <c r="H20" s="26">
        <f t="shared" si="0"/>
        <v>5.65</v>
      </c>
      <c r="I20" s="72">
        <v>5.0720000000000001</v>
      </c>
      <c r="J20" s="20">
        <f t="shared" si="1"/>
        <v>50.72</v>
      </c>
      <c r="K20" s="72">
        <f>I20</f>
        <v>5.0720000000000001</v>
      </c>
      <c r="L20" s="20">
        <f t="shared" si="2"/>
        <v>126.8</v>
      </c>
      <c r="M20" s="2" t="s">
        <v>41</v>
      </c>
      <c r="N20" s="3" t="s">
        <v>165</v>
      </c>
      <c r="O20" s="32" t="s">
        <v>166</v>
      </c>
      <c r="P20" s="19" t="s">
        <v>167</v>
      </c>
      <c r="Q20" s="4"/>
    </row>
    <row r="21" spans="1:17" x14ac:dyDescent="0.2">
      <c r="A21" s="2" t="s">
        <v>57</v>
      </c>
      <c r="B21" s="34" t="s">
        <v>106</v>
      </c>
      <c r="C21" s="34" t="s">
        <v>107</v>
      </c>
      <c r="D21" s="53" t="s">
        <v>108</v>
      </c>
      <c r="E21" s="25" t="s">
        <v>22</v>
      </c>
      <c r="F21" s="4">
        <v>1</v>
      </c>
      <c r="G21" s="67">
        <v>0.56000000000000005</v>
      </c>
      <c r="H21" s="26">
        <f t="shared" si="0"/>
        <v>0.56000000000000005</v>
      </c>
      <c r="I21" s="72">
        <v>0.54200000000000004</v>
      </c>
      <c r="J21" s="20">
        <f t="shared" si="1"/>
        <v>5.42</v>
      </c>
      <c r="K21" s="72">
        <v>0.53100000000000003</v>
      </c>
      <c r="L21" s="20">
        <f t="shared" si="2"/>
        <v>13.275</v>
      </c>
      <c r="M21" s="2" t="s">
        <v>15</v>
      </c>
      <c r="N21" s="3" t="s">
        <v>109</v>
      </c>
      <c r="O21" s="29" t="s">
        <v>110</v>
      </c>
      <c r="P21" s="19" t="s">
        <v>111</v>
      </c>
      <c r="Q21" s="4"/>
    </row>
    <row r="22" spans="1:17" x14ac:dyDescent="0.2">
      <c r="A22" s="2" t="s">
        <v>57</v>
      </c>
      <c r="B22" s="25" t="s">
        <v>47</v>
      </c>
      <c r="C22" s="25" t="s">
        <v>70</v>
      </c>
      <c r="D22" s="32" t="s">
        <v>196</v>
      </c>
      <c r="E22" s="25" t="s">
        <v>197</v>
      </c>
      <c r="F22" s="4">
        <v>1</v>
      </c>
      <c r="G22" s="67">
        <v>0.82</v>
      </c>
      <c r="H22" s="26">
        <f t="shared" si="0"/>
        <v>0.82</v>
      </c>
      <c r="I22" s="72">
        <v>0.64</v>
      </c>
      <c r="J22" s="20">
        <f t="shared" si="1"/>
        <v>6.4</v>
      </c>
      <c r="K22" s="72">
        <v>0.5968</v>
      </c>
      <c r="L22" s="20">
        <f t="shared" si="2"/>
        <v>14.92</v>
      </c>
      <c r="M22" s="2" t="s">
        <v>41</v>
      </c>
      <c r="N22" s="3" t="s">
        <v>198</v>
      </c>
      <c r="O22" s="29" t="s">
        <v>97</v>
      </c>
      <c r="P22" s="19" t="s">
        <v>199</v>
      </c>
      <c r="Q22" s="4" t="s">
        <v>200</v>
      </c>
    </row>
    <row r="23" spans="1:17" x14ac:dyDescent="0.2">
      <c r="A23" s="2" t="s">
        <v>57</v>
      </c>
      <c r="B23" s="25" t="s">
        <v>48</v>
      </c>
      <c r="C23" s="25" t="s">
        <v>70</v>
      </c>
      <c r="D23" s="32" t="s">
        <v>201</v>
      </c>
      <c r="E23" s="25" t="s">
        <v>202</v>
      </c>
      <c r="F23" s="4">
        <v>1</v>
      </c>
      <c r="G23" s="67">
        <v>0.65</v>
      </c>
      <c r="H23" s="26">
        <f t="shared" si="0"/>
        <v>0.65</v>
      </c>
      <c r="I23" s="72">
        <v>0.502</v>
      </c>
      <c r="J23" s="20">
        <f t="shared" si="1"/>
        <v>5.0199999999999996</v>
      </c>
      <c r="K23" s="72">
        <v>0.46760000000000002</v>
      </c>
      <c r="L23" s="20">
        <f t="shared" si="2"/>
        <v>11.690000000000001</v>
      </c>
      <c r="M23" s="2" t="s">
        <v>41</v>
      </c>
      <c r="N23" s="3" t="s">
        <v>203</v>
      </c>
      <c r="O23" s="29" t="s">
        <v>97</v>
      </c>
      <c r="P23" s="19" t="s">
        <v>204</v>
      </c>
      <c r="Q23" s="4" t="s">
        <v>200</v>
      </c>
    </row>
    <row r="24" spans="1:17" x14ac:dyDescent="0.2">
      <c r="A24" s="2" t="s">
        <v>57</v>
      </c>
      <c r="B24" s="25" t="s">
        <v>49</v>
      </c>
      <c r="C24" s="25" t="s">
        <v>70</v>
      </c>
      <c r="D24" s="32" t="s">
        <v>205</v>
      </c>
      <c r="E24" s="25" t="s">
        <v>206</v>
      </c>
      <c r="F24" s="4">
        <v>1</v>
      </c>
      <c r="G24" s="67">
        <v>0.7</v>
      </c>
      <c r="H24" s="26">
        <f t="shared" si="0"/>
        <v>0.7</v>
      </c>
      <c r="I24" s="72">
        <v>0.54600000000000004</v>
      </c>
      <c r="J24" s="20">
        <f t="shared" si="1"/>
        <v>5.4600000000000009</v>
      </c>
      <c r="K24" s="72">
        <v>0.50880000000000003</v>
      </c>
      <c r="L24" s="20">
        <f t="shared" si="2"/>
        <v>12.72</v>
      </c>
      <c r="M24" s="2" t="s">
        <v>41</v>
      </c>
      <c r="N24" s="3" t="s">
        <v>207</v>
      </c>
      <c r="O24" s="29" t="s">
        <v>97</v>
      </c>
      <c r="P24" s="19" t="s">
        <v>208</v>
      </c>
      <c r="Q24" s="4" t="s">
        <v>200</v>
      </c>
    </row>
    <row r="25" spans="1:17" x14ac:dyDescent="0.2">
      <c r="A25" s="2" t="s">
        <v>57</v>
      </c>
      <c r="B25" s="25" t="s">
        <v>50</v>
      </c>
      <c r="C25" s="25" t="s">
        <v>70</v>
      </c>
      <c r="D25" s="32" t="s">
        <v>209</v>
      </c>
      <c r="E25" s="25" t="s">
        <v>210</v>
      </c>
      <c r="F25" s="4">
        <v>2</v>
      </c>
      <c r="G25" s="67">
        <v>0.89</v>
      </c>
      <c r="H25" s="26">
        <f t="shared" si="0"/>
        <v>1.78</v>
      </c>
      <c r="I25" s="72">
        <v>0.69</v>
      </c>
      <c r="J25" s="20">
        <f t="shared" si="1"/>
        <v>13.799999999999999</v>
      </c>
      <c r="K25" s="72">
        <v>0.64359999999999995</v>
      </c>
      <c r="L25" s="20">
        <f t="shared" si="2"/>
        <v>32.18</v>
      </c>
      <c r="M25" s="2" t="s">
        <v>41</v>
      </c>
      <c r="N25" s="3" t="s">
        <v>211</v>
      </c>
      <c r="O25" s="29" t="s">
        <v>97</v>
      </c>
      <c r="P25" s="19" t="s">
        <v>212</v>
      </c>
      <c r="Q25" s="4" t="s">
        <v>200</v>
      </c>
    </row>
    <row r="26" spans="1:17" x14ac:dyDescent="0.2">
      <c r="A26" s="2" t="s">
        <v>57</v>
      </c>
      <c r="B26" s="25" t="s">
        <v>51</v>
      </c>
      <c r="C26" s="25" t="s">
        <v>70</v>
      </c>
      <c r="D26" s="32" t="s">
        <v>213</v>
      </c>
      <c r="E26" s="25" t="s">
        <v>214</v>
      </c>
      <c r="F26" s="4">
        <v>1</v>
      </c>
      <c r="G26" s="67">
        <v>0.84</v>
      </c>
      <c r="H26" s="26">
        <f t="shared" si="0"/>
        <v>0.84</v>
      </c>
      <c r="I26" s="72">
        <v>0.69899999999999995</v>
      </c>
      <c r="J26" s="20">
        <f t="shared" si="1"/>
        <v>6.9899999999999993</v>
      </c>
      <c r="K26" s="72">
        <v>0.64759999999999995</v>
      </c>
      <c r="L26" s="20">
        <f t="shared" si="2"/>
        <v>16.189999999999998</v>
      </c>
      <c r="M26" s="2" t="s">
        <v>41</v>
      </c>
      <c r="N26" s="3" t="s">
        <v>215</v>
      </c>
      <c r="O26" s="29" t="s">
        <v>97</v>
      </c>
      <c r="P26" s="19" t="s">
        <v>216</v>
      </c>
      <c r="Q26" s="4" t="s">
        <v>200</v>
      </c>
    </row>
    <row r="27" spans="1:17" x14ac:dyDescent="0.2">
      <c r="A27" s="54" t="s">
        <v>99</v>
      </c>
      <c r="B27" s="55" t="s">
        <v>177</v>
      </c>
      <c r="C27" s="55"/>
      <c r="D27" s="56"/>
      <c r="E27" s="55" t="s">
        <v>178</v>
      </c>
      <c r="F27" s="57">
        <v>1</v>
      </c>
      <c r="G27" s="68"/>
      <c r="H27" s="58">
        <f t="shared" si="0"/>
        <v>0</v>
      </c>
      <c r="I27" s="73"/>
      <c r="J27" s="59">
        <f t="shared" si="1"/>
        <v>0</v>
      </c>
      <c r="K27" s="73"/>
      <c r="L27" s="59">
        <f t="shared" si="2"/>
        <v>0</v>
      </c>
      <c r="M27" s="54"/>
      <c r="N27" s="55"/>
      <c r="O27" s="56" t="s">
        <v>97</v>
      </c>
      <c r="P27" s="60"/>
      <c r="Q27" s="57" t="s">
        <v>98</v>
      </c>
    </row>
    <row r="28" spans="1:17" x14ac:dyDescent="0.2">
      <c r="A28" s="54" t="s">
        <v>99</v>
      </c>
      <c r="B28" s="55" t="s">
        <v>123</v>
      </c>
      <c r="C28" s="55"/>
      <c r="D28" s="56"/>
      <c r="E28" s="55" t="s">
        <v>124</v>
      </c>
      <c r="F28" s="57">
        <v>1</v>
      </c>
      <c r="G28" s="68"/>
      <c r="H28" s="58">
        <f t="shared" si="0"/>
        <v>0</v>
      </c>
      <c r="I28" s="73"/>
      <c r="J28" s="59">
        <f t="shared" si="1"/>
        <v>0</v>
      </c>
      <c r="K28" s="73"/>
      <c r="L28" s="59">
        <f t="shared" si="2"/>
        <v>0</v>
      </c>
      <c r="M28" s="54"/>
      <c r="N28" s="55"/>
      <c r="O28" s="56" t="s">
        <v>97</v>
      </c>
      <c r="P28" s="60"/>
      <c r="Q28" s="57" t="s">
        <v>98</v>
      </c>
    </row>
    <row r="29" spans="1:17" x14ac:dyDescent="0.2">
      <c r="A29" s="2" t="s">
        <v>57</v>
      </c>
      <c r="B29" s="25" t="s">
        <v>227</v>
      </c>
      <c r="C29" s="25" t="s">
        <v>100</v>
      </c>
      <c r="D29" s="32" t="s">
        <v>101</v>
      </c>
      <c r="E29" s="25" t="s">
        <v>102</v>
      </c>
      <c r="F29" s="4">
        <v>5</v>
      </c>
      <c r="G29" s="67">
        <v>0.22</v>
      </c>
      <c r="H29" s="26">
        <f t="shared" si="0"/>
        <v>1.1000000000000001</v>
      </c>
      <c r="I29" s="72">
        <v>0.17799999999999999</v>
      </c>
      <c r="J29" s="20">
        <f t="shared" si="1"/>
        <v>8.8999999999999986</v>
      </c>
      <c r="K29" s="72">
        <f>I29</f>
        <v>0.17799999999999999</v>
      </c>
      <c r="L29" s="20">
        <f t="shared" si="2"/>
        <v>22.249999999999996</v>
      </c>
      <c r="M29" s="2" t="s">
        <v>41</v>
      </c>
      <c r="N29" s="3" t="s">
        <v>103</v>
      </c>
      <c r="O29" s="29" t="s">
        <v>104</v>
      </c>
      <c r="P29" s="19" t="s">
        <v>105</v>
      </c>
      <c r="Q29" s="4"/>
    </row>
    <row r="30" spans="1:17" x14ac:dyDescent="0.2">
      <c r="A30" s="2" t="s">
        <v>57</v>
      </c>
      <c r="B30" s="25" t="s">
        <v>134</v>
      </c>
      <c r="C30" s="25" t="s">
        <v>86</v>
      </c>
      <c r="D30" s="32" t="s">
        <v>112</v>
      </c>
      <c r="E30" s="25" t="s">
        <v>113</v>
      </c>
      <c r="F30" s="4">
        <v>3</v>
      </c>
      <c r="G30" s="67">
        <v>0.1</v>
      </c>
      <c r="H30" s="26">
        <f t="shared" si="0"/>
        <v>0.30000000000000004</v>
      </c>
      <c r="I30" s="72">
        <v>5.0999999999999997E-2</v>
      </c>
      <c r="J30" s="20">
        <f t="shared" si="1"/>
        <v>1.53</v>
      </c>
      <c r="K30" s="72">
        <v>3.56E-2</v>
      </c>
      <c r="L30" s="20">
        <f t="shared" si="2"/>
        <v>2.67</v>
      </c>
      <c r="M30" s="2" t="s">
        <v>41</v>
      </c>
      <c r="N30" s="3" t="s">
        <v>114</v>
      </c>
      <c r="O30" s="29" t="s">
        <v>84</v>
      </c>
      <c r="P30" s="19" t="s">
        <v>115</v>
      </c>
      <c r="Q30" s="4"/>
    </row>
    <row r="31" spans="1:17" x14ac:dyDescent="0.2">
      <c r="A31" s="2" t="s">
        <v>57</v>
      </c>
      <c r="B31" s="25" t="s">
        <v>116</v>
      </c>
      <c r="C31" s="25" t="s">
        <v>117</v>
      </c>
      <c r="D31" s="32" t="s">
        <v>118</v>
      </c>
      <c r="E31" s="25" t="s">
        <v>119</v>
      </c>
      <c r="F31" s="4">
        <v>1</v>
      </c>
      <c r="G31" s="67">
        <v>1.61</v>
      </c>
      <c r="H31" s="26">
        <f t="shared" si="0"/>
        <v>1.61</v>
      </c>
      <c r="I31" s="72">
        <v>1.37</v>
      </c>
      <c r="J31" s="20">
        <f t="shared" si="1"/>
        <v>13.700000000000001</v>
      </c>
      <c r="K31" s="72">
        <f>I31</f>
        <v>1.37</v>
      </c>
      <c r="L31" s="20">
        <f t="shared" si="2"/>
        <v>34.25</v>
      </c>
      <c r="M31" s="2" t="s">
        <v>15</v>
      </c>
      <c r="N31" s="3" t="s">
        <v>120</v>
      </c>
      <c r="O31" s="29" t="s">
        <v>121</v>
      </c>
      <c r="P31" s="19" t="s">
        <v>122</v>
      </c>
      <c r="Q31" s="4"/>
    </row>
    <row r="32" spans="1:17" x14ac:dyDescent="0.2">
      <c r="A32" s="54" t="s">
        <v>99</v>
      </c>
      <c r="B32" s="55" t="s">
        <v>125</v>
      </c>
      <c r="C32" s="55"/>
      <c r="D32" s="56"/>
      <c r="E32" s="55" t="s">
        <v>126</v>
      </c>
      <c r="F32" s="57">
        <v>1</v>
      </c>
      <c r="G32" s="68"/>
      <c r="H32" s="58">
        <f t="shared" si="0"/>
        <v>0</v>
      </c>
      <c r="I32" s="73"/>
      <c r="J32" s="59">
        <f t="shared" si="1"/>
        <v>0</v>
      </c>
      <c r="K32" s="73"/>
      <c r="L32" s="59">
        <f t="shared" si="2"/>
        <v>0</v>
      </c>
      <c r="M32" s="54"/>
      <c r="N32" s="55"/>
      <c r="O32" s="56"/>
      <c r="P32" s="57"/>
      <c r="Q32" s="57" t="s">
        <v>127</v>
      </c>
    </row>
    <row r="33" spans="1:17" s="65" customFormat="1" x14ac:dyDescent="0.2">
      <c r="A33" s="61" t="s">
        <v>57</v>
      </c>
      <c r="B33" s="25" t="s">
        <v>128</v>
      </c>
      <c r="C33" s="25" t="s">
        <v>129</v>
      </c>
      <c r="D33" s="32" t="s">
        <v>96</v>
      </c>
      <c r="E33" s="25" t="s">
        <v>130</v>
      </c>
      <c r="F33" s="62">
        <v>1</v>
      </c>
      <c r="G33" s="69">
        <v>2.2799999999999998</v>
      </c>
      <c r="H33" s="63">
        <f t="shared" si="0"/>
        <v>2.2799999999999998</v>
      </c>
      <c r="I33" s="74">
        <v>2.08</v>
      </c>
      <c r="J33" s="64">
        <f t="shared" si="1"/>
        <v>20.8</v>
      </c>
      <c r="K33" s="74">
        <v>1.92</v>
      </c>
      <c r="L33" s="64">
        <f t="shared" si="2"/>
        <v>48</v>
      </c>
      <c r="M33" s="61" t="s">
        <v>15</v>
      </c>
      <c r="N33" s="25" t="s">
        <v>131</v>
      </c>
      <c r="O33" s="32" t="s">
        <v>132</v>
      </c>
      <c r="P33" s="76" t="s">
        <v>133</v>
      </c>
      <c r="Q33" s="62"/>
    </row>
    <row r="34" spans="1:17" x14ac:dyDescent="0.2">
      <c r="A34" s="2" t="s">
        <v>57</v>
      </c>
      <c r="B34" s="25" t="s">
        <v>232</v>
      </c>
      <c r="C34" s="25" t="s">
        <v>221</v>
      </c>
      <c r="D34" s="29" t="s">
        <v>222</v>
      </c>
      <c r="E34" s="25" t="s">
        <v>223</v>
      </c>
      <c r="F34" s="4">
        <v>2</v>
      </c>
      <c r="G34" s="67">
        <v>0.4</v>
      </c>
      <c r="H34" s="26">
        <f t="shared" si="0"/>
        <v>0.8</v>
      </c>
      <c r="I34" s="72">
        <v>0.31</v>
      </c>
      <c r="J34" s="20">
        <f t="shared" si="1"/>
        <v>6.2</v>
      </c>
      <c r="K34" s="72">
        <v>0.26119999999999999</v>
      </c>
      <c r="L34" s="20">
        <f t="shared" si="2"/>
        <v>13.059999999999999</v>
      </c>
      <c r="M34" s="2" t="s">
        <v>41</v>
      </c>
      <c r="N34" s="3" t="s">
        <v>224</v>
      </c>
      <c r="O34" s="29" t="s">
        <v>225</v>
      </c>
      <c r="P34" s="19" t="s">
        <v>226</v>
      </c>
      <c r="Q34" s="4"/>
    </row>
    <row r="35" spans="1:17" x14ac:dyDescent="0.2">
      <c r="A35" s="2" t="s">
        <v>57</v>
      </c>
      <c r="B35" s="25" t="s">
        <v>235</v>
      </c>
      <c r="C35" s="25" t="s">
        <v>86</v>
      </c>
      <c r="D35" s="29" t="s">
        <v>236</v>
      </c>
      <c r="E35" s="25" t="s">
        <v>237</v>
      </c>
      <c r="F35" s="4">
        <v>2</v>
      </c>
      <c r="G35" s="67">
        <v>0.1</v>
      </c>
      <c r="H35" s="26">
        <f t="shared" si="0"/>
        <v>0.2</v>
      </c>
      <c r="I35" s="72">
        <v>2.1000000000000001E-2</v>
      </c>
      <c r="J35" s="20">
        <f t="shared" si="1"/>
        <v>0.42000000000000004</v>
      </c>
      <c r="K35" s="72">
        <v>1.52E-2</v>
      </c>
      <c r="L35" s="20">
        <f t="shared" si="2"/>
        <v>0.76</v>
      </c>
      <c r="M35" s="2" t="s">
        <v>41</v>
      </c>
      <c r="N35" s="3" t="s">
        <v>238</v>
      </c>
      <c r="O35" s="29" t="s">
        <v>84</v>
      </c>
      <c r="P35" s="19" t="s">
        <v>239</v>
      </c>
      <c r="Q35" s="4"/>
    </row>
    <row r="36" spans="1:17" x14ac:dyDescent="0.2">
      <c r="A36" s="2" t="s">
        <v>57</v>
      </c>
      <c r="B36" s="25" t="s">
        <v>240</v>
      </c>
      <c r="C36" s="25" t="s">
        <v>242</v>
      </c>
      <c r="D36" s="29" t="s">
        <v>243</v>
      </c>
      <c r="E36" s="25" t="s">
        <v>244</v>
      </c>
      <c r="F36" s="4">
        <v>1</v>
      </c>
      <c r="G36" s="67">
        <v>0.1</v>
      </c>
      <c r="H36" s="26">
        <f t="shared" si="0"/>
        <v>0.1</v>
      </c>
      <c r="I36" s="72">
        <v>0.04</v>
      </c>
      <c r="J36" s="20">
        <f t="shared" si="1"/>
        <v>0.4</v>
      </c>
      <c r="K36" s="72">
        <v>2.8799999999999999E-2</v>
      </c>
      <c r="L36" s="20">
        <f t="shared" si="2"/>
        <v>0.72</v>
      </c>
      <c r="M36" s="2" t="s">
        <v>41</v>
      </c>
      <c r="N36" s="3" t="s">
        <v>245</v>
      </c>
      <c r="O36" s="29" t="s">
        <v>84</v>
      </c>
      <c r="P36" s="19" t="s">
        <v>246</v>
      </c>
      <c r="Q36" s="4"/>
    </row>
    <row r="37" spans="1:17" ht="17" thickBot="1" x14ac:dyDescent="0.25">
      <c r="A37" s="5" t="s">
        <v>57</v>
      </c>
      <c r="B37" s="6" t="s">
        <v>241</v>
      </c>
      <c r="C37" s="6" t="s">
        <v>86</v>
      </c>
      <c r="D37" s="33" t="s">
        <v>247</v>
      </c>
      <c r="E37" s="6" t="s">
        <v>249</v>
      </c>
      <c r="F37" s="7">
        <v>1</v>
      </c>
      <c r="G37" s="70">
        <v>0.1</v>
      </c>
      <c r="H37" s="15">
        <f t="shared" si="0"/>
        <v>0.1</v>
      </c>
      <c r="I37" s="75">
        <v>2.1000000000000001E-2</v>
      </c>
      <c r="J37" s="22">
        <f t="shared" si="1"/>
        <v>0.21000000000000002</v>
      </c>
      <c r="K37" s="75">
        <v>1.52E-2</v>
      </c>
      <c r="L37" s="22">
        <f t="shared" si="2"/>
        <v>0.38</v>
      </c>
      <c r="M37" s="5" t="s">
        <v>41</v>
      </c>
      <c r="N37" s="6" t="s">
        <v>248</v>
      </c>
      <c r="O37" s="33" t="s">
        <v>84</v>
      </c>
      <c r="P37" s="77" t="s">
        <v>250</v>
      </c>
      <c r="Q37" s="7"/>
    </row>
    <row r="38" spans="1:17" x14ac:dyDescent="0.2">
      <c r="E38" s="25" t="s">
        <v>251</v>
      </c>
      <c r="F38">
        <f>SUM(F4:F37)</f>
        <v>80</v>
      </c>
      <c r="G38" s="24" t="s">
        <v>168</v>
      </c>
      <c r="H38" s="24">
        <f>SUM(H4:H37)</f>
        <v>48.02000000000001</v>
      </c>
      <c r="I38" s="24" t="s">
        <v>168</v>
      </c>
      <c r="J38" s="24">
        <f>SUM(J4:J37)</f>
        <v>416.58999999999992</v>
      </c>
      <c r="K38" s="24" t="s">
        <v>168</v>
      </c>
      <c r="L38" s="24">
        <f>SUM(L4:L37)</f>
        <v>936.37999999999988</v>
      </c>
    </row>
    <row r="39" spans="1:17" x14ac:dyDescent="0.2">
      <c r="E39" s="25" t="s">
        <v>252</v>
      </c>
      <c r="F39">
        <f>SUM(F4:F6,F21,F22:F26)</f>
        <v>25</v>
      </c>
      <c r="G39" t="s">
        <v>1</v>
      </c>
      <c r="H39" s="24">
        <f>H38</f>
        <v>48.02000000000001</v>
      </c>
      <c r="I39" t="s">
        <v>1</v>
      </c>
      <c r="J39" s="35">
        <f>J38/10</f>
        <v>41.658999999999992</v>
      </c>
      <c r="K39" t="s">
        <v>1</v>
      </c>
      <c r="L39" s="35">
        <f>L38/25</f>
        <v>37.455199999999998</v>
      </c>
    </row>
  </sheetData>
  <mergeCells count="7">
    <mergeCell ref="Q2:Q3"/>
    <mergeCell ref="M2:P2"/>
    <mergeCell ref="A1:B1"/>
    <mergeCell ref="G2:H2"/>
    <mergeCell ref="A2:E2"/>
    <mergeCell ref="I2:J2"/>
    <mergeCell ref="K2:L2"/>
  </mergeCells>
  <hyperlinks>
    <hyperlink ref="P33" r:id="rId1"/>
    <hyperlink ref="P34" r:id="rId2"/>
    <hyperlink ref="P35" r:id="rId3"/>
    <hyperlink ref="P37" r:id="rId4"/>
  </hyperlink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C42" sqref="C42"/>
    </sheetView>
  </sheetViews>
  <sheetFormatPr baseColWidth="10" defaultRowHeight="16" x14ac:dyDescent="0.2"/>
  <cols>
    <col min="1" max="1" width="7.83203125" bestFit="1" customWidth="1"/>
    <col min="2" max="2" width="41.33203125" bestFit="1" customWidth="1"/>
    <col min="3" max="3" width="17.1640625" bestFit="1" customWidth="1"/>
    <col min="4" max="4" width="32.1640625" bestFit="1" customWidth="1"/>
    <col min="5" max="5" width="16.83203125" bestFit="1" customWidth="1"/>
    <col min="6" max="6" width="19.5" bestFit="1" customWidth="1"/>
    <col min="7" max="7" width="13.1640625" bestFit="1" customWidth="1"/>
    <col min="8" max="8" width="19.5" bestFit="1" customWidth="1"/>
    <col min="9" max="9" width="13.1640625" bestFit="1" customWidth="1"/>
    <col min="10" max="10" width="19.5" bestFit="1" customWidth="1"/>
    <col min="11" max="11" width="13.1640625" bestFit="1" customWidth="1"/>
    <col min="12" max="12" width="16" bestFit="1" customWidth="1"/>
    <col min="13" max="13" width="20.83203125" bestFit="1" customWidth="1"/>
    <col min="14" max="14" width="7.6640625" bestFit="1" customWidth="1"/>
    <col min="15" max="15" width="156.5" bestFit="1" customWidth="1"/>
    <col min="16" max="16" width="127.6640625" bestFit="1" customWidth="1"/>
  </cols>
  <sheetData>
    <row r="1" spans="1:16" ht="17" thickBot="1" x14ac:dyDescent="0.25">
      <c r="A1" s="46"/>
      <c r="B1" s="1"/>
      <c r="D1" s="3" t="s">
        <v>260</v>
      </c>
      <c r="J1" t="s">
        <v>259</v>
      </c>
      <c r="K1">
        <v>12</v>
      </c>
      <c r="N1" s="30"/>
    </row>
    <row r="2" spans="1:16" ht="17" thickBot="1" x14ac:dyDescent="0.25">
      <c r="A2" s="89" t="s">
        <v>5</v>
      </c>
      <c r="B2" s="90"/>
      <c r="C2" s="83"/>
      <c r="D2" s="89" t="s">
        <v>4</v>
      </c>
      <c r="E2" s="91"/>
      <c r="F2" s="92" t="s">
        <v>6</v>
      </c>
      <c r="G2" s="91"/>
      <c r="H2" s="89" t="s">
        <v>7</v>
      </c>
      <c r="I2" s="91"/>
      <c r="J2" s="94" t="s">
        <v>258</v>
      </c>
      <c r="K2" s="95"/>
      <c r="L2" s="89" t="s">
        <v>8</v>
      </c>
      <c r="M2" s="93"/>
      <c r="N2" s="90"/>
      <c r="O2" s="91"/>
      <c r="P2" s="87" t="s">
        <v>27</v>
      </c>
    </row>
    <row r="3" spans="1:16" ht="18" thickTop="1" thickBot="1" x14ac:dyDescent="0.25">
      <c r="A3" s="10" t="s">
        <v>0</v>
      </c>
      <c r="B3" s="47" t="s">
        <v>28</v>
      </c>
      <c r="C3" s="18" t="s">
        <v>188</v>
      </c>
      <c r="D3" s="10" t="s">
        <v>1</v>
      </c>
      <c r="E3" s="28" t="s">
        <v>156</v>
      </c>
      <c r="F3" s="36" t="s">
        <v>1</v>
      </c>
      <c r="G3" s="13" t="s">
        <v>11</v>
      </c>
      <c r="H3" s="12" t="s">
        <v>1</v>
      </c>
      <c r="I3" s="13" t="s">
        <v>11</v>
      </c>
      <c r="J3" s="6" t="s">
        <v>1</v>
      </c>
      <c r="K3" s="6" t="s">
        <v>11</v>
      </c>
      <c r="L3" s="12" t="s">
        <v>2</v>
      </c>
      <c r="M3" s="14" t="s">
        <v>42</v>
      </c>
      <c r="N3" s="31" t="s">
        <v>10</v>
      </c>
      <c r="O3" s="13" t="s">
        <v>3</v>
      </c>
      <c r="P3" s="88"/>
    </row>
    <row r="4" spans="1:16" x14ac:dyDescent="0.2">
      <c r="A4" s="8"/>
      <c r="B4" s="25" t="s">
        <v>322</v>
      </c>
      <c r="C4" s="45">
        <v>3</v>
      </c>
      <c r="D4" s="37">
        <f>11.12/50</f>
        <v>0.22239999999999999</v>
      </c>
      <c r="E4" s="26">
        <f t="shared" ref="E4:E17" si="0">C4*D4</f>
        <v>0.66720000000000002</v>
      </c>
      <c r="F4" s="41">
        <f t="shared" ref="F4:F9" si="1">D4</f>
        <v>0.22239999999999999</v>
      </c>
      <c r="G4" s="20">
        <f t="shared" ref="G4:G17" si="2">C4*F4*10</f>
        <v>6.6720000000000006</v>
      </c>
      <c r="H4" s="41">
        <f t="shared" ref="H4:H9" si="3">D4</f>
        <v>0.22239999999999999</v>
      </c>
      <c r="I4" s="20">
        <f t="shared" ref="I4:I17" si="4">C4*H4*25</f>
        <v>16.68</v>
      </c>
      <c r="J4" s="78">
        <f>E4</f>
        <v>0.66720000000000002</v>
      </c>
      <c r="K4" s="78">
        <f t="shared" ref="K4:K17" si="5">J4*$K$1</f>
        <v>8.0063999999999993</v>
      </c>
      <c r="L4" s="2" t="s">
        <v>319</v>
      </c>
      <c r="M4" s="29" t="s">
        <v>320</v>
      </c>
      <c r="N4" s="29" t="s">
        <v>18</v>
      </c>
      <c r="O4" s="19" t="s">
        <v>321</v>
      </c>
      <c r="P4" s="43" t="s">
        <v>318</v>
      </c>
    </row>
    <row r="5" spans="1:16" x14ac:dyDescent="0.2">
      <c r="A5" s="2"/>
      <c r="B5" s="3" t="s">
        <v>323</v>
      </c>
      <c r="C5" s="4">
        <v>3</v>
      </c>
      <c r="D5" s="39">
        <f>8.86/100</f>
        <v>8.8599999999999998E-2</v>
      </c>
      <c r="E5" s="26">
        <f t="shared" si="0"/>
        <v>0.26579999999999998</v>
      </c>
      <c r="F5" s="21">
        <f t="shared" si="1"/>
        <v>8.8599999999999998E-2</v>
      </c>
      <c r="G5" s="20">
        <f t="shared" si="2"/>
        <v>2.6579999999999999</v>
      </c>
      <c r="H5" s="21">
        <f t="shared" si="3"/>
        <v>8.8599999999999998E-2</v>
      </c>
      <c r="I5" s="20">
        <f t="shared" si="4"/>
        <v>6.6449999999999996</v>
      </c>
      <c r="J5" s="78">
        <f>E5</f>
        <v>0.26579999999999998</v>
      </c>
      <c r="K5" s="78">
        <f t="shared" si="5"/>
        <v>3.1895999999999995</v>
      </c>
      <c r="L5" s="2" t="s">
        <v>319</v>
      </c>
      <c r="M5" s="29" t="s">
        <v>324</v>
      </c>
      <c r="N5" s="29" t="s">
        <v>18</v>
      </c>
      <c r="O5" s="19" t="s">
        <v>325</v>
      </c>
      <c r="P5" s="43" t="s">
        <v>305</v>
      </c>
    </row>
    <row r="6" spans="1:16" x14ac:dyDescent="0.2">
      <c r="A6" s="2"/>
      <c r="B6" s="25" t="s">
        <v>326</v>
      </c>
      <c r="C6" s="4">
        <v>3</v>
      </c>
      <c r="D6" s="39">
        <f>10.35/12</f>
        <v>0.86249999999999993</v>
      </c>
      <c r="E6" s="26">
        <f t="shared" si="0"/>
        <v>2.5874999999999999</v>
      </c>
      <c r="F6" s="21">
        <f t="shared" si="1"/>
        <v>0.86249999999999993</v>
      </c>
      <c r="G6" s="20">
        <f t="shared" si="2"/>
        <v>25.875</v>
      </c>
      <c r="H6" s="21">
        <f t="shared" si="3"/>
        <v>0.86249999999999993</v>
      </c>
      <c r="I6" s="20">
        <f t="shared" si="4"/>
        <v>64.6875</v>
      </c>
      <c r="J6" s="78">
        <f>E6</f>
        <v>2.5874999999999999</v>
      </c>
      <c r="K6" s="78">
        <f t="shared" si="5"/>
        <v>31.049999999999997</v>
      </c>
      <c r="L6" s="2" t="s">
        <v>319</v>
      </c>
      <c r="M6" s="29" t="s">
        <v>327</v>
      </c>
      <c r="N6" s="32" t="s">
        <v>18</v>
      </c>
      <c r="O6" s="19" t="s">
        <v>328</v>
      </c>
      <c r="P6" s="43" t="s">
        <v>332</v>
      </c>
    </row>
    <row r="7" spans="1:16" x14ac:dyDescent="0.2">
      <c r="A7" s="2"/>
      <c r="B7" s="25" t="s">
        <v>329</v>
      </c>
      <c r="C7" s="4">
        <v>4</v>
      </c>
      <c r="D7" s="39">
        <f>6.15/10</f>
        <v>0.61499999999999999</v>
      </c>
      <c r="E7" s="26">
        <f t="shared" si="0"/>
        <v>2.46</v>
      </c>
      <c r="F7" s="21">
        <f t="shared" si="1"/>
        <v>0.61499999999999999</v>
      </c>
      <c r="G7" s="20">
        <f t="shared" si="2"/>
        <v>24.6</v>
      </c>
      <c r="H7" s="21">
        <f t="shared" si="3"/>
        <v>0.61499999999999999</v>
      </c>
      <c r="I7" s="20">
        <f t="shared" si="4"/>
        <v>61.5</v>
      </c>
      <c r="J7" s="78">
        <f>E7</f>
        <v>2.46</v>
      </c>
      <c r="K7" s="78">
        <f t="shared" si="5"/>
        <v>29.52</v>
      </c>
      <c r="L7" s="2" t="s">
        <v>319</v>
      </c>
      <c r="M7" s="29" t="s">
        <v>330</v>
      </c>
      <c r="N7" s="32" t="s">
        <v>18</v>
      </c>
      <c r="O7" s="19" t="s">
        <v>331</v>
      </c>
      <c r="P7" s="43" t="s">
        <v>314</v>
      </c>
    </row>
    <row r="8" spans="1:16" x14ac:dyDescent="0.2">
      <c r="A8" s="2"/>
      <c r="B8" s="25" t="s">
        <v>333</v>
      </c>
      <c r="C8" s="4">
        <v>4</v>
      </c>
      <c r="D8" s="39">
        <f>6.04/50</f>
        <v>0.1208</v>
      </c>
      <c r="E8" s="26">
        <f t="shared" si="0"/>
        <v>0.48320000000000002</v>
      </c>
      <c r="F8" s="21">
        <f t="shared" si="1"/>
        <v>0.1208</v>
      </c>
      <c r="G8" s="20">
        <f t="shared" si="2"/>
        <v>4.8319999999999999</v>
      </c>
      <c r="H8" s="21">
        <f t="shared" si="3"/>
        <v>0.1208</v>
      </c>
      <c r="I8" s="20">
        <f t="shared" si="4"/>
        <v>12.08</v>
      </c>
      <c r="J8" s="78">
        <f>E8</f>
        <v>0.48320000000000002</v>
      </c>
      <c r="K8" s="78">
        <f t="shared" si="5"/>
        <v>5.7984</v>
      </c>
      <c r="L8" s="2" t="s">
        <v>319</v>
      </c>
      <c r="M8" s="29" t="s">
        <v>334</v>
      </c>
      <c r="N8" s="32" t="s">
        <v>18</v>
      </c>
      <c r="O8" s="19" t="s">
        <v>335</v>
      </c>
      <c r="P8" s="43" t="s">
        <v>318</v>
      </c>
    </row>
    <row r="9" spans="1:16" x14ac:dyDescent="0.2">
      <c r="A9" s="2"/>
      <c r="B9" s="25" t="s">
        <v>336</v>
      </c>
      <c r="C9" s="4">
        <v>1</v>
      </c>
      <c r="D9" s="39">
        <v>3.14</v>
      </c>
      <c r="E9" s="26">
        <f t="shared" si="0"/>
        <v>3.14</v>
      </c>
      <c r="F9" s="21">
        <f t="shared" si="1"/>
        <v>3.14</v>
      </c>
      <c r="G9" s="20">
        <f t="shared" si="2"/>
        <v>31.400000000000002</v>
      </c>
      <c r="H9" s="21">
        <f t="shared" si="3"/>
        <v>3.14</v>
      </c>
      <c r="I9" s="20">
        <f t="shared" si="4"/>
        <v>78.5</v>
      </c>
      <c r="J9" s="78">
        <f>D9</f>
        <v>3.14</v>
      </c>
      <c r="K9" s="78">
        <f t="shared" si="5"/>
        <v>37.68</v>
      </c>
      <c r="L9" s="2" t="s">
        <v>319</v>
      </c>
      <c r="M9" s="32" t="s">
        <v>337</v>
      </c>
      <c r="N9" s="32" t="s">
        <v>18</v>
      </c>
      <c r="O9" s="19" t="s">
        <v>338</v>
      </c>
      <c r="P9" s="43"/>
    </row>
    <row r="10" spans="1:16" x14ac:dyDescent="0.2">
      <c r="A10" s="2"/>
      <c r="B10" s="25" t="s">
        <v>342</v>
      </c>
      <c r="C10" s="4">
        <v>1</v>
      </c>
      <c r="D10" s="84">
        <v>0.31666666700000001</v>
      </c>
      <c r="E10" s="26">
        <f t="shared" si="0"/>
        <v>0.31666666700000001</v>
      </c>
      <c r="F10" s="85">
        <v>0.31666666700000001</v>
      </c>
      <c r="G10" s="20">
        <f t="shared" si="2"/>
        <v>3.1666666700000001</v>
      </c>
      <c r="H10" s="85">
        <v>0.31666666700000001</v>
      </c>
      <c r="I10" s="20">
        <f t="shared" si="4"/>
        <v>7.9166666750000001</v>
      </c>
      <c r="J10" s="78">
        <f>D10</f>
        <v>0.31666666700000001</v>
      </c>
      <c r="K10" s="78">
        <f t="shared" si="5"/>
        <v>3.8000000040000002</v>
      </c>
      <c r="L10" s="2" t="s">
        <v>319</v>
      </c>
      <c r="M10" s="32" t="s">
        <v>343</v>
      </c>
      <c r="N10" s="32" t="s">
        <v>18</v>
      </c>
      <c r="O10" s="19" t="s">
        <v>344</v>
      </c>
      <c r="P10" s="43" t="s">
        <v>345</v>
      </c>
    </row>
    <row r="11" spans="1:16" x14ac:dyDescent="0.2">
      <c r="A11" s="2"/>
      <c r="B11" s="25"/>
      <c r="C11" s="4"/>
      <c r="D11" s="84"/>
      <c r="E11" s="26">
        <f t="shared" si="0"/>
        <v>0</v>
      </c>
      <c r="F11" s="85"/>
      <c r="G11" s="20">
        <f t="shared" si="2"/>
        <v>0</v>
      </c>
      <c r="H11" s="85"/>
      <c r="I11" s="20">
        <f t="shared" si="4"/>
        <v>0</v>
      </c>
      <c r="J11" s="78"/>
      <c r="K11" s="78">
        <f t="shared" si="5"/>
        <v>0</v>
      </c>
      <c r="L11" s="2"/>
      <c r="M11" s="32"/>
      <c r="N11" s="32"/>
      <c r="O11" s="19"/>
      <c r="P11" s="43"/>
    </row>
    <row r="12" spans="1:16" x14ac:dyDescent="0.2">
      <c r="A12" s="2"/>
      <c r="B12" s="25"/>
      <c r="C12" s="4"/>
      <c r="D12" s="39"/>
      <c r="E12" s="26">
        <f t="shared" si="0"/>
        <v>0</v>
      </c>
      <c r="F12" s="21"/>
      <c r="G12" s="20">
        <f t="shared" si="2"/>
        <v>0</v>
      </c>
      <c r="H12" s="21"/>
      <c r="I12" s="20">
        <f t="shared" si="4"/>
        <v>0</v>
      </c>
      <c r="J12" s="78"/>
      <c r="K12" s="78">
        <f t="shared" si="5"/>
        <v>0</v>
      </c>
      <c r="L12" s="2"/>
      <c r="M12" s="29"/>
      <c r="N12" s="29"/>
      <c r="O12" s="19"/>
      <c r="P12" s="43"/>
    </row>
    <row r="13" spans="1:16" x14ac:dyDescent="0.2">
      <c r="A13" s="2"/>
      <c r="B13" s="25"/>
      <c r="C13" s="4"/>
      <c r="D13" s="39"/>
      <c r="E13" s="26">
        <f t="shared" si="0"/>
        <v>0</v>
      </c>
      <c r="F13" s="21"/>
      <c r="G13" s="20">
        <f t="shared" si="2"/>
        <v>0</v>
      </c>
      <c r="H13" s="21"/>
      <c r="I13" s="20">
        <f t="shared" si="4"/>
        <v>0</v>
      </c>
      <c r="J13" s="78"/>
      <c r="K13" s="78">
        <f t="shared" si="5"/>
        <v>0</v>
      </c>
      <c r="L13" s="2"/>
      <c r="M13" s="32"/>
      <c r="N13" s="29"/>
      <c r="O13" s="19"/>
      <c r="P13" s="43"/>
    </row>
    <row r="14" spans="1:16" x14ac:dyDescent="0.2">
      <c r="A14" s="2"/>
      <c r="B14" s="25"/>
      <c r="C14" s="4"/>
      <c r="D14" s="39"/>
      <c r="E14" s="26">
        <f t="shared" si="0"/>
        <v>0</v>
      </c>
      <c r="F14" s="21"/>
      <c r="G14" s="20">
        <f t="shared" si="2"/>
        <v>0</v>
      </c>
      <c r="H14" s="21"/>
      <c r="I14" s="20">
        <f t="shared" si="4"/>
        <v>0</v>
      </c>
      <c r="J14" s="82"/>
      <c r="K14" s="78">
        <f t="shared" si="5"/>
        <v>0</v>
      </c>
      <c r="L14" s="2"/>
      <c r="M14" s="29"/>
      <c r="N14" s="29"/>
      <c r="O14" s="19"/>
      <c r="P14" s="43"/>
    </row>
    <row r="15" spans="1:16" x14ac:dyDescent="0.2">
      <c r="A15" s="2"/>
      <c r="B15" s="25"/>
      <c r="C15" s="4"/>
      <c r="D15" s="39"/>
      <c r="E15" s="26">
        <f t="shared" si="0"/>
        <v>0</v>
      </c>
      <c r="F15" s="21"/>
      <c r="G15" s="20">
        <f t="shared" si="2"/>
        <v>0</v>
      </c>
      <c r="H15" s="21"/>
      <c r="I15" s="20">
        <f t="shared" si="4"/>
        <v>0</v>
      </c>
      <c r="J15" s="78"/>
      <c r="K15" s="78">
        <f t="shared" si="5"/>
        <v>0</v>
      </c>
      <c r="L15" s="2"/>
      <c r="M15" s="29"/>
      <c r="N15" s="29"/>
      <c r="O15" s="19"/>
      <c r="P15" s="43"/>
    </row>
    <row r="16" spans="1:16" x14ac:dyDescent="0.2">
      <c r="A16" s="2"/>
      <c r="B16" s="25"/>
      <c r="C16" s="4"/>
      <c r="D16" s="39"/>
      <c r="E16" s="26">
        <f t="shared" si="0"/>
        <v>0</v>
      </c>
      <c r="F16" s="21"/>
      <c r="G16" s="20">
        <f t="shared" si="2"/>
        <v>0</v>
      </c>
      <c r="H16" s="21"/>
      <c r="I16" s="20">
        <f t="shared" si="4"/>
        <v>0</v>
      </c>
      <c r="J16" s="78"/>
      <c r="K16" s="78">
        <f t="shared" si="5"/>
        <v>0</v>
      </c>
      <c r="L16" s="2"/>
      <c r="M16" s="32"/>
      <c r="N16" s="32"/>
      <c r="O16" s="27"/>
      <c r="P16" s="43"/>
    </row>
    <row r="17" spans="1:16" x14ac:dyDescent="0.2">
      <c r="A17" s="2"/>
      <c r="B17" s="25"/>
      <c r="C17" s="4"/>
      <c r="D17" s="39"/>
      <c r="E17" s="26">
        <f t="shared" si="0"/>
        <v>0</v>
      </c>
      <c r="F17" s="21"/>
      <c r="G17" s="20">
        <f t="shared" si="2"/>
        <v>0</v>
      </c>
      <c r="H17" s="21"/>
      <c r="I17" s="20">
        <f t="shared" si="4"/>
        <v>0</v>
      </c>
      <c r="J17" s="78"/>
      <c r="K17" s="78">
        <f t="shared" si="5"/>
        <v>0</v>
      </c>
      <c r="L17" s="2"/>
      <c r="M17" s="29"/>
      <c r="N17" s="29"/>
      <c r="O17" s="19"/>
      <c r="P17" s="43"/>
    </row>
    <row r="18" spans="1:16" x14ac:dyDescent="0.2">
      <c r="A18" s="2"/>
      <c r="B18" s="25"/>
      <c r="C18" s="4"/>
      <c r="D18" s="39"/>
      <c r="E18" s="26">
        <f t="shared" ref="E18:E30" si="6">C18*D18</f>
        <v>0</v>
      </c>
      <c r="F18" s="21"/>
      <c r="G18" s="20">
        <f t="shared" ref="G18:G30" si="7">C18*F18*10</f>
        <v>0</v>
      </c>
      <c r="H18" s="21"/>
      <c r="I18" s="20">
        <f t="shared" ref="I18:I30" si="8">C18*H18*25</f>
        <v>0</v>
      </c>
      <c r="J18" s="78"/>
      <c r="K18" s="78">
        <f t="shared" ref="K18:K30" si="9">J18*$K$1</f>
        <v>0</v>
      </c>
      <c r="L18" s="2"/>
      <c r="M18" s="29"/>
      <c r="N18" s="29"/>
      <c r="O18" s="19"/>
      <c r="P18" s="43"/>
    </row>
    <row r="19" spans="1:16" x14ac:dyDescent="0.2">
      <c r="A19" s="2"/>
      <c r="B19" s="25"/>
      <c r="C19" s="4"/>
      <c r="D19" s="39"/>
      <c r="E19" s="26">
        <f t="shared" si="6"/>
        <v>0</v>
      </c>
      <c r="F19" s="21"/>
      <c r="G19" s="20">
        <f t="shared" si="7"/>
        <v>0</v>
      </c>
      <c r="H19" s="21"/>
      <c r="I19" s="20">
        <f t="shared" si="8"/>
        <v>0</v>
      </c>
      <c r="J19" s="78"/>
      <c r="K19" s="78">
        <f t="shared" si="9"/>
        <v>0</v>
      </c>
      <c r="L19" s="2"/>
      <c r="M19" s="29"/>
      <c r="N19" s="29"/>
      <c r="O19" s="19"/>
      <c r="P19" s="43"/>
    </row>
    <row r="20" spans="1:16" x14ac:dyDescent="0.2">
      <c r="A20" s="2"/>
      <c r="B20" s="25"/>
      <c r="C20" s="4"/>
      <c r="D20" s="39"/>
      <c r="E20" s="26">
        <f t="shared" si="6"/>
        <v>0</v>
      </c>
      <c r="F20" s="21"/>
      <c r="G20" s="20">
        <f t="shared" si="7"/>
        <v>0</v>
      </c>
      <c r="H20" s="21"/>
      <c r="I20" s="20">
        <f t="shared" si="8"/>
        <v>0</v>
      </c>
      <c r="J20" s="78"/>
      <c r="K20" s="78">
        <f t="shared" si="9"/>
        <v>0</v>
      </c>
      <c r="L20" s="2"/>
      <c r="M20" s="29"/>
      <c r="N20" s="29"/>
      <c r="O20" s="19"/>
      <c r="P20" s="43"/>
    </row>
    <row r="21" spans="1:16" x14ac:dyDescent="0.2">
      <c r="A21" s="2"/>
      <c r="B21" s="25"/>
      <c r="C21" s="4"/>
      <c r="D21" s="39"/>
      <c r="E21" s="26">
        <f t="shared" si="6"/>
        <v>0</v>
      </c>
      <c r="F21" s="21"/>
      <c r="G21" s="20">
        <f t="shared" si="7"/>
        <v>0</v>
      </c>
      <c r="H21" s="21"/>
      <c r="I21" s="20">
        <f t="shared" si="8"/>
        <v>0</v>
      </c>
      <c r="J21" s="78"/>
      <c r="K21" s="78">
        <f t="shared" si="9"/>
        <v>0</v>
      </c>
      <c r="L21" s="2"/>
      <c r="M21" s="29"/>
      <c r="N21" s="29"/>
      <c r="O21" s="19"/>
      <c r="P21" s="43"/>
    </row>
    <row r="22" spans="1:16" x14ac:dyDescent="0.2">
      <c r="A22" s="2"/>
      <c r="B22" s="25"/>
      <c r="C22" s="4"/>
      <c r="D22" s="39"/>
      <c r="E22" s="26">
        <f t="shared" si="6"/>
        <v>0</v>
      </c>
      <c r="F22" s="21"/>
      <c r="G22" s="20">
        <f t="shared" si="7"/>
        <v>0</v>
      </c>
      <c r="H22" s="21"/>
      <c r="I22" s="20">
        <f t="shared" si="8"/>
        <v>0</v>
      </c>
      <c r="J22" s="78"/>
      <c r="K22" s="78">
        <f t="shared" si="9"/>
        <v>0</v>
      </c>
      <c r="L22" s="2"/>
      <c r="M22" s="29"/>
      <c r="N22" s="29"/>
      <c r="O22" s="19"/>
      <c r="P22" s="43"/>
    </row>
    <row r="23" spans="1:16" x14ac:dyDescent="0.2">
      <c r="A23" s="2"/>
      <c r="B23" s="25"/>
      <c r="C23" s="4"/>
      <c r="D23" s="39"/>
      <c r="E23" s="26">
        <f t="shared" si="6"/>
        <v>0</v>
      </c>
      <c r="F23" s="21"/>
      <c r="G23" s="20">
        <f t="shared" si="7"/>
        <v>0</v>
      </c>
      <c r="H23" s="21"/>
      <c r="I23" s="20">
        <f t="shared" si="8"/>
        <v>0</v>
      </c>
      <c r="J23" s="78"/>
      <c r="K23" s="78">
        <f t="shared" si="9"/>
        <v>0</v>
      </c>
      <c r="L23" s="2"/>
      <c r="M23" s="29"/>
      <c r="N23" s="29"/>
      <c r="O23" s="19"/>
      <c r="P23" s="43"/>
    </row>
    <row r="24" spans="1:16" x14ac:dyDescent="0.2">
      <c r="A24" s="2"/>
      <c r="B24" s="25"/>
      <c r="C24" s="4"/>
      <c r="D24" s="39"/>
      <c r="E24" s="26">
        <f t="shared" si="6"/>
        <v>0</v>
      </c>
      <c r="F24" s="21"/>
      <c r="G24" s="20">
        <f t="shared" si="7"/>
        <v>0</v>
      </c>
      <c r="H24" s="21"/>
      <c r="I24" s="20">
        <f t="shared" si="8"/>
        <v>0</v>
      </c>
      <c r="J24" s="78"/>
      <c r="K24" s="78">
        <f t="shared" si="9"/>
        <v>0</v>
      </c>
      <c r="L24" s="2"/>
      <c r="M24" s="29"/>
      <c r="N24" s="29"/>
      <c r="O24" s="19"/>
      <c r="P24" s="43"/>
    </row>
    <row r="25" spans="1:16" x14ac:dyDescent="0.2">
      <c r="A25" s="2"/>
      <c r="B25" s="25"/>
      <c r="C25" s="4"/>
      <c r="D25" s="39"/>
      <c r="E25" s="26">
        <f t="shared" si="6"/>
        <v>0</v>
      </c>
      <c r="F25" s="21"/>
      <c r="G25" s="20">
        <f t="shared" si="7"/>
        <v>0</v>
      </c>
      <c r="H25" s="21"/>
      <c r="I25" s="20">
        <f t="shared" si="8"/>
        <v>0</v>
      </c>
      <c r="J25" s="78"/>
      <c r="K25" s="78">
        <f t="shared" si="9"/>
        <v>0</v>
      </c>
      <c r="L25" s="2"/>
      <c r="M25" s="29"/>
      <c r="N25" s="29"/>
      <c r="O25" s="19"/>
      <c r="P25" s="43"/>
    </row>
    <row r="26" spans="1:16" x14ac:dyDescent="0.2">
      <c r="A26" s="2"/>
      <c r="B26" s="3"/>
      <c r="C26" s="4"/>
      <c r="D26" s="39"/>
      <c r="E26" s="26">
        <f t="shared" si="6"/>
        <v>0</v>
      </c>
      <c r="F26" s="21"/>
      <c r="G26" s="20">
        <f t="shared" si="7"/>
        <v>0</v>
      </c>
      <c r="H26" s="21"/>
      <c r="I26" s="20">
        <f t="shared" si="8"/>
        <v>0</v>
      </c>
      <c r="J26" s="78"/>
      <c r="K26" s="78">
        <f t="shared" si="9"/>
        <v>0</v>
      </c>
      <c r="L26" s="2"/>
      <c r="M26" s="29"/>
      <c r="N26" s="29"/>
      <c r="O26" s="4"/>
      <c r="P26" s="43"/>
    </row>
    <row r="27" spans="1:16" x14ac:dyDescent="0.2">
      <c r="A27" s="2"/>
      <c r="B27" s="3"/>
      <c r="C27" s="4"/>
      <c r="D27" s="39"/>
      <c r="E27" s="26">
        <f t="shared" si="6"/>
        <v>0</v>
      </c>
      <c r="F27" s="21"/>
      <c r="G27" s="20">
        <f t="shared" si="7"/>
        <v>0</v>
      </c>
      <c r="H27" s="21"/>
      <c r="I27" s="20">
        <f t="shared" si="8"/>
        <v>0</v>
      </c>
      <c r="J27" s="78"/>
      <c r="K27" s="78">
        <f t="shared" si="9"/>
        <v>0</v>
      </c>
      <c r="L27" s="2"/>
      <c r="M27" s="29"/>
      <c r="N27" s="29"/>
      <c r="O27" s="4"/>
      <c r="P27" s="43"/>
    </row>
    <row r="28" spans="1:16" x14ac:dyDescent="0.2">
      <c r="A28" s="2"/>
      <c r="B28" s="3"/>
      <c r="C28" s="4"/>
      <c r="D28" s="39"/>
      <c r="E28" s="26">
        <f t="shared" si="6"/>
        <v>0</v>
      </c>
      <c r="F28" s="21"/>
      <c r="G28" s="20">
        <f t="shared" si="7"/>
        <v>0</v>
      </c>
      <c r="H28" s="21"/>
      <c r="I28" s="20">
        <f t="shared" si="8"/>
        <v>0</v>
      </c>
      <c r="J28" s="78"/>
      <c r="K28" s="78">
        <f t="shared" si="9"/>
        <v>0</v>
      </c>
      <c r="L28" s="2"/>
      <c r="M28" s="29"/>
      <c r="N28" s="29"/>
      <c r="O28" s="4"/>
      <c r="P28" s="43"/>
    </row>
    <row r="29" spans="1:16" x14ac:dyDescent="0.2">
      <c r="A29" s="2"/>
      <c r="B29" s="3"/>
      <c r="C29" s="4"/>
      <c r="D29" s="39"/>
      <c r="E29" s="26">
        <f t="shared" si="6"/>
        <v>0</v>
      </c>
      <c r="F29" s="21"/>
      <c r="G29" s="20">
        <f t="shared" si="7"/>
        <v>0</v>
      </c>
      <c r="H29" s="21"/>
      <c r="I29" s="20">
        <f t="shared" si="8"/>
        <v>0</v>
      </c>
      <c r="J29" s="78"/>
      <c r="K29" s="78">
        <f t="shared" si="9"/>
        <v>0</v>
      </c>
      <c r="L29" s="2"/>
      <c r="M29" s="29"/>
      <c r="N29" s="29"/>
      <c r="O29" s="4"/>
      <c r="P29" s="43"/>
    </row>
    <row r="30" spans="1:16" ht="17" thickBot="1" x14ac:dyDescent="0.25">
      <c r="A30" s="5"/>
      <c r="B30" s="6"/>
      <c r="C30" s="7"/>
      <c r="D30" s="40"/>
      <c r="E30" s="15">
        <f t="shared" si="6"/>
        <v>0</v>
      </c>
      <c r="F30" s="23"/>
      <c r="G30" s="22">
        <f t="shared" si="7"/>
        <v>0</v>
      </c>
      <c r="H30" s="23"/>
      <c r="I30" s="22">
        <f t="shared" si="8"/>
        <v>0</v>
      </c>
      <c r="J30" s="79"/>
      <c r="K30" s="79">
        <f t="shared" si="9"/>
        <v>0</v>
      </c>
      <c r="L30" s="5"/>
      <c r="M30" s="33"/>
      <c r="N30" s="33"/>
      <c r="O30" s="7"/>
      <c r="P30" s="44"/>
    </row>
    <row r="31" spans="1:16" x14ac:dyDescent="0.2">
      <c r="D31" s="24" t="s">
        <v>12</v>
      </c>
      <c r="E31" s="24">
        <f>SUM(E4:E30)</f>
        <v>9.9203666669999997</v>
      </c>
      <c r="F31" s="24" t="s">
        <v>12</v>
      </c>
      <c r="G31" s="24">
        <f>SUM(G4:G30)</f>
        <v>99.203666670000004</v>
      </c>
      <c r="H31" s="24" t="s">
        <v>12</v>
      </c>
      <c r="I31" s="24">
        <f>SUM(I4:I30)</f>
        <v>248.00916667499999</v>
      </c>
      <c r="J31" s="24" t="s">
        <v>12</v>
      </c>
      <c r="K31" s="24">
        <f>SUM(K4:K30)</f>
        <v>119.04440000399998</v>
      </c>
      <c r="N31" s="30"/>
    </row>
    <row r="32" spans="1:16" x14ac:dyDescent="0.2">
      <c r="D32" t="s">
        <v>13</v>
      </c>
      <c r="E32" s="24">
        <f>E31</f>
        <v>9.9203666669999997</v>
      </c>
      <c r="F32" t="s">
        <v>13</v>
      </c>
      <c r="G32" s="35">
        <f>G31/10</f>
        <v>9.9203666669999997</v>
      </c>
      <c r="H32" t="s">
        <v>13</v>
      </c>
      <c r="I32" s="35">
        <f>I31/25</f>
        <v>9.9203666669999997</v>
      </c>
      <c r="J32" t="s">
        <v>13</v>
      </c>
      <c r="K32" s="35">
        <f>K31/K1</f>
        <v>9.9203666669999979</v>
      </c>
      <c r="N32" s="30"/>
    </row>
  </sheetData>
  <mergeCells count="7">
    <mergeCell ref="P2:P3"/>
    <mergeCell ref="A2:B2"/>
    <mergeCell ref="D2:E2"/>
    <mergeCell ref="F2:G2"/>
    <mergeCell ref="H2:I2"/>
    <mergeCell ref="J2:K2"/>
    <mergeCell ref="L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C34" sqref="C34"/>
    </sheetView>
  </sheetViews>
  <sheetFormatPr baseColWidth="10" defaultRowHeight="16" x14ac:dyDescent="0.2"/>
  <cols>
    <col min="2" max="2" width="41.33203125" bestFit="1" customWidth="1"/>
    <col min="3" max="3" width="17.1640625" bestFit="1" customWidth="1"/>
    <col min="5" max="5" width="16.83203125" bestFit="1" customWidth="1"/>
    <col min="7" max="7" width="13.1640625" bestFit="1" customWidth="1"/>
    <col min="9" max="9" width="13.1640625" bestFit="1" customWidth="1"/>
    <col min="11" max="11" width="13.1640625" bestFit="1" customWidth="1"/>
    <col min="12" max="12" width="11.5" bestFit="1" customWidth="1"/>
    <col min="13" max="13" width="20.83203125" bestFit="1" customWidth="1"/>
    <col min="15" max="15" width="101" bestFit="1" customWidth="1"/>
    <col min="16" max="16" width="26.5" bestFit="1" customWidth="1"/>
  </cols>
  <sheetData>
    <row r="1" spans="1:16" ht="17" thickBot="1" x14ac:dyDescent="0.25">
      <c r="A1" s="46"/>
      <c r="B1" s="1"/>
      <c r="D1" s="3" t="s">
        <v>260</v>
      </c>
      <c r="J1" t="s">
        <v>259</v>
      </c>
      <c r="K1">
        <v>12</v>
      </c>
      <c r="N1" s="30"/>
    </row>
    <row r="2" spans="1:16" ht="17" thickBot="1" x14ac:dyDescent="0.25">
      <c r="A2" s="89" t="s">
        <v>5</v>
      </c>
      <c r="B2" s="90"/>
      <c r="C2" s="86"/>
      <c r="D2" s="89" t="s">
        <v>4</v>
      </c>
      <c r="E2" s="91"/>
      <c r="F2" s="92" t="s">
        <v>6</v>
      </c>
      <c r="G2" s="91"/>
      <c r="H2" s="89" t="s">
        <v>7</v>
      </c>
      <c r="I2" s="91"/>
      <c r="J2" s="94" t="s">
        <v>258</v>
      </c>
      <c r="K2" s="95"/>
      <c r="L2" s="89" t="s">
        <v>8</v>
      </c>
      <c r="M2" s="93"/>
      <c r="N2" s="90"/>
      <c r="O2" s="91"/>
      <c r="P2" s="87" t="s">
        <v>27</v>
      </c>
    </row>
    <row r="3" spans="1:16" ht="18" thickTop="1" thickBot="1" x14ac:dyDescent="0.25">
      <c r="A3" s="10" t="s">
        <v>0</v>
      </c>
      <c r="B3" s="47" t="s">
        <v>28</v>
      </c>
      <c r="C3" s="18" t="s">
        <v>188</v>
      </c>
      <c r="D3" s="10" t="s">
        <v>1</v>
      </c>
      <c r="E3" s="28" t="s">
        <v>156</v>
      </c>
      <c r="F3" s="36" t="s">
        <v>1</v>
      </c>
      <c r="G3" s="13" t="s">
        <v>11</v>
      </c>
      <c r="H3" s="12" t="s">
        <v>1</v>
      </c>
      <c r="I3" s="13" t="s">
        <v>11</v>
      </c>
      <c r="J3" s="6" t="s">
        <v>1</v>
      </c>
      <c r="K3" s="6" t="s">
        <v>11</v>
      </c>
      <c r="L3" s="12" t="s">
        <v>2</v>
      </c>
      <c r="M3" s="14" t="s">
        <v>42</v>
      </c>
      <c r="N3" s="31" t="s">
        <v>10</v>
      </c>
      <c r="O3" s="13" t="s">
        <v>3</v>
      </c>
      <c r="P3" s="88"/>
    </row>
    <row r="4" spans="1:16" x14ac:dyDescent="0.2">
      <c r="A4" s="8"/>
      <c r="B4" s="25" t="s">
        <v>361</v>
      </c>
      <c r="C4" s="45">
        <v>1</v>
      </c>
      <c r="D4" s="37">
        <v>2.48</v>
      </c>
      <c r="E4" s="26">
        <f t="shared" ref="E4:E30" si="0">C4*D4</f>
        <v>2.48</v>
      </c>
      <c r="F4" s="41">
        <f t="shared" ref="F4:F11" si="1">D4</f>
        <v>2.48</v>
      </c>
      <c r="G4" s="20">
        <f t="shared" ref="G4:G30" si="2">C4*F4*10</f>
        <v>24.8</v>
      </c>
      <c r="H4" s="41">
        <f t="shared" ref="H4:H11" si="3">D4</f>
        <v>2.48</v>
      </c>
      <c r="I4" s="20">
        <f t="shared" ref="I4:I30" si="4">C4*H4*25</f>
        <v>62</v>
      </c>
      <c r="J4" s="78">
        <f>D4</f>
        <v>2.48</v>
      </c>
      <c r="K4" s="78">
        <f t="shared" ref="K4:K30" si="5">J4*$K$1</f>
        <v>29.759999999999998</v>
      </c>
      <c r="L4" s="2" t="s">
        <v>363</v>
      </c>
      <c r="M4" s="29" t="s">
        <v>388</v>
      </c>
      <c r="N4" s="29" t="s">
        <v>18</v>
      </c>
      <c r="O4" s="19" t="s">
        <v>389</v>
      </c>
      <c r="P4" s="43"/>
    </row>
    <row r="5" spans="1:16" x14ac:dyDescent="0.2">
      <c r="A5" s="2"/>
      <c r="B5" s="3" t="s">
        <v>362</v>
      </c>
      <c r="C5" s="4">
        <v>1</v>
      </c>
      <c r="D5" s="39">
        <v>0.65</v>
      </c>
      <c r="E5" s="26">
        <f t="shared" si="0"/>
        <v>0.65</v>
      </c>
      <c r="F5" s="21">
        <f t="shared" si="1"/>
        <v>0.65</v>
      </c>
      <c r="G5" s="20">
        <f t="shared" si="2"/>
        <v>6.5</v>
      </c>
      <c r="H5" s="21">
        <f t="shared" si="3"/>
        <v>0.65</v>
      </c>
      <c r="I5" s="20">
        <f t="shared" si="4"/>
        <v>16.25</v>
      </c>
      <c r="J5" s="78">
        <v>0.65</v>
      </c>
      <c r="K5" s="78">
        <f t="shared" si="5"/>
        <v>7.8000000000000007</v>
      </c>
      <c r="L5" s="2" t="s">
        <v>363</v>
      </c>
      <c r="M5" s="29" t="s">
        <v>364</v>
      </c>
      <c r="N5" s="29" t="s">
        <v>18</v>
      </c>
      <c r="O5" s="19" t="s">
        <v>365</v>
      </c>
      <c r="P5" s="43"/>
    </row>
    <row r="6" spans="1:16" x14ac:dyDescent="0.2">
      <c r="A6" s="2"/>
      <c r="B6" s="25" t="s">
        <v>366</v>
      </c>
      <c r="C6" s="4">
        <v>1</v>
      </c>
      <c r="D6" s="39">
        <v>0.39</v>
      </c>
      <c r="E6" s="26">
        <f t="shared" si="0"/>
        <v>0.39</v>
      </c>
      <c r="F6" s="21">
        <f t="shared" si="1"/>
        <v>0.39</v>
      </c>
      <c r="G6" s="20">
        <f t="shared" si="2"/>
        <v>3.9000000000000004</v>
      </c>
      <c r="H6" s="21">
        <f t="shared" si="3"/>
        <v>0.39</v>
      </c>
      <c r="I6" s="20">
        <f t="shared" si="4"/>
        <v>9.75</v>
      </c>
      <c r="J6" s="78">
        <v>0.39</v>
      </c>
      <c r="K6" s="78">
        <f t="shared" si="5"/>
        <v>4.68</v>
      </c>
      <c r="L6" s="2" t="s">
        <v>363</v>
      </c>
      <c r="M6" s="29" t="s">
        <v>367</v>
      </c>
      <c r="N6" s="32" t="s">
        <v>18</v>
      </c>
      <c r="O6" s="19" t="s">
        <v>368</v>
      </c>
      <c r="P6" s="43"/>
    </row>
    <row r="7" spans="1:16" x14ac:dyDescent="0.2">
      <c r="A7" s="2"/>
      <c r="B7" s="25" t="s">
        <v>369</v>
      </c>
      <c r="C7" s="4">
        <v>1</v>
      </c>
      <c r="D7" s="39">
        <v>0.99</v>
      </c>
      <c r="E7" s="26">
        <f t="shared" si="0"/>
        <v>0.99</v>
      </c>
      <c r="F7" s="21">
        <f t="shared" si="1"/>
        <v>0.99</v>
      </c>
      <c r="G7" s="20">
        <f t="shared" si="2"/>
        <v>9.9</v>
      </c>
      <c r="H7" s="21">
        <f t="shared" si="3"/>
        <v>0.99</v>
      </c>
      <c r="I7" s="20">
        <f t="shared" si="4"/>
        <v>24.75</v>
      </c>
      <c r="J7" s="78">
        <v>0.99</v>
      </c>
      <c r="K7" s="78">
        <f t="shared" si="5"/>
        <v>11.879999999999999</v>
      </c>
      <c r="L7" s="2" t="s">
        <v>363</v>
      </c>
      <c r="M7" s="29" t="s">
        <v>370</v>
      </c>
      <c r="N7" s="32" t="s">
        <v>18</v>
      </c>
      <c r="O7" s="19" t="s">
        <v>371</v>
      </c>
      <c r="P7" s="43" t="s">
        <v>372</v>
      </c>
    </row>
    <row r="8" spans="1:16" x14ac:dyDescent="0.2">
      <c r="A8" s="2"/>
      <c r="B8" s="25" t="s">
        <v>387</v>
      </c>
      <c r="C8" s="4">
        <v>1</v>
      </c>
      <c r="D8" s="39">
        <v>0.33</v>
      </c>
      <c r="E8" s="26">
        <f t="shared" si="0"/>
        <v>0.33</v>
      </c>
      <c r="F8" s="21">
        <f t="shared" si="1"/>
        <v>0.33</v>
      </c>
      <c r="G8" s="20">
        <f t="shared" si="2"/>
        <v>3.3000000000000003</v>
      </c>
      <c r="H8" s="21">
        <f t="shared" si="3"/>
        <v>0.33</v>
      </c>
      <c r="I8" s="20">
        <f t="shared" si="4"/>
        <v>8.25</v>
      </c>
      <c r="J8" s="78">
        <v>0.33</v>
      </c>
      <c r="K8" s="78">
        <f t="shared" si="5"/>
        <v>3.96</v>
      </c>
      <c r="L8" s="2" t="s">
        <v>363</v>
      </c>
      <c r="M8" s="29" t="s">
        <v>390</v>
      </c>
      <c r="N8" s="32" t="s">
        <v>18</v>
      </c>
      <c r="O8" s="19" t="s">
        <v>391</v>
      </c>
      <c r="P8" s="43"/>
    </row>
    <row r="9" spans="1:16" x14ac:dyDescent="0.2">
      <c r="A9" s="2"/>
      <c r="B9" s="25" t="s">
        <v>376</v>
      </c>
      <c r="C9" s="4">
        <v>1</v>
      </c>
      <c r="D9" s="39">
        <f>1.07/2</f>
        <v>0.53500000000000003</v>
      </c>
      <c r="E9" s="26">
        <f t="shared" si="0"/>
        <v>0.53500000000000003</v>
      </c>
      <c r="F9" s="21">
        <f t="shared" si="1"/>
        <v>0.53500000000000003</v>
      </c>
      <c r="G9" s="20">
        <f t="shared" si="2"/>
        <v>5.3500000000000005</v>
      </c>
      <c r="H9" s="21">
        <f t="shared" si="3"/>
        <v>0.53500000000000003</v>
      </c>
      <c r="I9" s="20">
        <f t="shared" si="4"/>
        <v>13.375</v>
      </c>
      <c r="J9" s="78">
        <f>D9</f>
        <v>0.53500000000000003</v>
      </c>
      <c r="K9" s="78">
        <f t="shared" si="5"/>
        <v>6.42</v>
      </c>
      <c r="L9" s="2" t="s">
        <v>363</v>
      </c>
      <c r="M9" s="32" t="s">
        <v>373</v>
      </c>
      <c r="N9" s="32" t="s">
        <v>18</v>
      </c>
      <c r="O9" s="19" t="s">
        <v>374</v>
      </c>
      <c r="P9" s="43" t="s">
        <v>375</v>
      </c>
    </row>
    <row r="10" spans="1:16" x14ac:dyDescent="0.2">
      <c r="A10" s="2"/>
      <c r="B10" s="25" t="s">
        <v>377</v>
      </c>
      <c r="C10" s="4">
        <v>1</v>
      </c>
      <c r="D10" s="84">
        <f>1.15/4</f>
        <v>0.28749999999999998</v>
      </c>
      <c r="E10" s="26">
        <f t="shared" si="0"/>
        <v>0.28749999999999998</v>
      </c>
      <c r="F10" s="85">
        <f t="shared" si="1"/>
        <v>0.28749999999999998</v>
      </c>
      <c r="G10" s="20">
        <f t="shared" si="2"/>
        <v>2.875</v>
      </c>
      <c r="H10" s="85">
        <f t="shared" si="3"/>
        <v>0.28749999999999998</v>
      </c>
      <c r="I10" s="20">
        <f t="shared" si="4"/>
        <v>7.1874999999999991</v>
      </c>
      <c r="J10" s="78">
        <f>D10</f>
        <v>0.28749999999999998</v>
      </c>
      <c r="K10" s="78">
        <f t="shared" si="5"/>
        <v>3.4499999999999997</v>
      </c>
      <c r="L10" s="2" t="s">
        <v>363</v>
      </c>
      <c r="M10" s="32" t="s">
        <v>378</v>
      </c>
      <c r="N10" s="32" t="s">
        <v>18</v>
      </c>
      <c r="O10" s="19" t="s">
        <v>379</v>
      </c>
      <c r="P10" s="43" t="s">
        <v>380</v>
      </c>
    </row>
    <row r="11" spans="1:16" x14ac:dyDescent="0.2">
      <c r="A11" s="2"/>
      <c r="B11" s="25" t="s">
        <v>381</v>
      </c>
      <c r="C11" s="4">
        <v>1</v>
      </c>
      <c r="D11" s="84">
        <f>10.22/10</f>
        <v>1.022</v>
      </c>
      <c r="E11" s="26">
        <f t="shared" si="0"/>
        <v>1.022</v>
      </c>
      <c r="F11" s="85">
        <f t="shared" si="1"/>
        <v>1.022</v>
      </c>
      <c r="G11" s="20">
        <f t="shared" si="2"/>
        <v>10.220000000000001</v>
      </c>
      <c r="H11" s="85">
        <f t="shared" si="3"/>
        <v>1.022</v>
      </c>
      <c r="I11" s="20">
        <f t="shared" si="4"/>
        <v>25.55</v>
      </c>
      <c r="J11" s="78">
        <f>D11</f>
        <v>1.022</v>
      </c>
      <c r="K11" s="78">
        <f t="shared" si="5"/>
        <v>12.263999999999999</v>
      </c>
      <c r="L11" s="2" t="s">
        <v>363</v>
      </c>
      <c r="M11" s="32" t="s">
        <v>350</v>
      </c>
      <c r="N11" s="32" t="s">
        <v>18</v>
      </c>
      <c r="O11" s="19" t="s">
        <v>382</v>
      </c>
      <c r="P11" s="43" t="s">
        <v>383</v>
      </c>
    </row>
    <row r="12" spans="1:16" x14ac:dyDescent="0.2">
      <c r="A12" s="2"/>
      <c r="B12" s="25"/>
      <c r="C12" s="4"/>
      <c r="D12" s="39"/>
      <c r="E12" s="26">
        <f t="shared" si="0"/>
        <v>0</v>
      </c>
      <c r="F12" s="21"/>
      <c r="G12" s="20">
        <f t="shared" si="2"/>
        <v>0</v>
      </c>
      <c r="H12" s="21"/>
      <c r="I12" s="20">
        <f t="shared" si="4"/>
        <v>0</v>
      </c>
      <c r="J12" s="78"/>
      <c r="K12" s="78">
        <f t="shared" si="5"/>
        <v>0</v>
      </c>
      <c r="L12" s="2"/>
      <c r="M12" s="29"/>
      <c r="N12" s="29"/>
      <c r="O12" s="19"/>
      <c r="P12" s="43"/>
    </row>
    <row r="13" spans="1:16" x14ac:dyDescent="0.2">
      <c r="A13" s="2"/>
      <c r="B13" s="25"/>
      <c r="C13" s="4"/>
      <c r="D13" s="39"/>
      <c r="E13" s="26">
        <f t="shared" si="0"/>
        <v>0</v>
      </c>
      <c r="F13" s="21"/>
      <c r="G13" s="20">
        <f t="shared" si="2"/>
        <v>0</v>
      </c>
      <c r="H13" s="21"/>
      <c r="I13" s="20">
        <f t="shared" si="4"/>
        <v>0</v>
      </c>
      <c r="J13" s="78"/>
      <c r="K13" s="78">
        <f t="shared" si="5"/>
        <v>0</v>
      </c>
      <c r="L13" s="2"/>
      <c r="M13" s="32"/>
      <c r="N13" s="29"/>
      <c r="O13" s="19"/>
      <c r="P13" s="43"/>
    </row>
    <row r="14" spans="1:16" x14ac:dyDescent="0.2">
      <c r="A14" s="2"/>
      <c r="B14" s="25"/>
      <c r="C14" s="4"/>
      <c r="D14" s="39"/>
      <c r="E14" s="26">
        <f t="shared" si="0"/>
        <v>0</v>
      </c>
      <c r="F14" s="21"/>
      <c r="G14" s="20">
        <f t="shared" si="2"/>
        <v>0</v>
      </c>
      <c r="H14" s="21"/>
      <c r="I14" s="20">
        <f t="shared" si="4"/>
        <v>0</v>
      </c>
      <c r="J14" s="82"/>
      <c r="K14" s="78">
        <f t="shared" si="5"/>
        <v>0</v>
      </c>
      <c r="L14" s="2"/>
      <c r="M14" s="29"/>
      <c r="N14" s="29"/>
      <c r="O14" s="19"/>
      <c r="P14" s="43"/>
    </row>
    <row r="15" spans="1:16" x14ac:dyDescent="0.2">
      <c r="A15" s="2"/>
      <c r="B15" s="25"/>
      <c r="C15" s="4"/>
      <c r="D15" s="39"/>
      <c r="E15" s="26">
        <f t="shared" si="0"/>
        <v>0</v>
      </c>
      <c r="F15" s="21"/>
      <c r="G15" s="20">
        <f t="shared" si="2"/>
        <v>0</v>
      </c>
      <c r="H15" s="21"/>
      <c r="I15" s="20">
        <f t="shared" si="4"/>
        <v>0</v>
      </c>
      <c r="J15" s="78"/>
      <c r="K15" s="78">
        <f t="shared" si="5"/>
        <v>0</v>
      </c>
      <c r="L15" s="2"/>
      <c r="M15" s="29"/>
      <c r="N15" s="29"/>
      <c r="O15" s="19"/>
      <c r="P15" s="43"/>
    </row>
    <row r="16" spans="1:16" x14ac:dyDescent="0.2">
      <c r="A16" s="2"/>
      <c r="B16" s="25"/>
      <c r="C16" s="4"/>
      <c r="D16" s="39"/>
      <c r="E16" s="26">
        <f t="shared" si="0"/>
        <v>0</v>
      </c>
      <c r="F16" s="21"/>
      <c r="G16" s="20">
        <f t="shared" si="2"/>
        <v>0</v>
      </c>
      <c r="H16" s="21"/>
      <c r="I16" s="20">
        <f t="shared" si="4"/>
        <v>0</v>
      </c>
      <c r="J16" s="78"/>
      <c r="K16" s="78">
        <f t="shared" si="5"/>
        <v>0</v>
      </c>
      <c r="L16" s="2"/>
      <c r="M16" s="32"/>
      <c r="N16" s="32"/>
      <c r="O16" s="27"/>
      <c r="P16" s="43"/>
    </row>
    <row r="17" spans="1:16" x14ac:dyDescent="0.2">
      <c r="A17" s="2"/>
      <c r="B17" s="25"/>
      <c r="C17" s="4"/>
      <c r="D17" s="39"/>
      <c r="E17" s="26">
        <f t="shared" si="0"/>
        <v>0</v>
      </c>
      <c r="F17" s="21"/>
      <c r="G17" s="20">
        <f t="shared" si="2"/>
        <v>0</v>
      </c>
      <c r="H17" s="21"/>
      <c r="I17" s="20">
        <f t="shared" si="4"/>
        <v>0</v>
      </c>
      <c r="J17" s="78"/>
      <c r="K17" s="78">
        <f t="shared" si="5"/>
        <v>0</v>
      </c>
      <c r="L17" s="2"/>
      <c r="M17" s="29"/>
      <c r="N17" s="29"/>
      <c r="O17" s="19"/>
      <c r="P17" s="43"/>
    </row>
    <row r="18" spans="1:16" x14ac:dyDescent="0.2">
      <c r="A18" s="2"/>
      <c r="B18" s="25"/>
      <c r="C18" s="4"/>
      <c r="D18" s="39"/>
      <c r="E18" s="26">
        <f t="shared" si="0"/>
        <v>0</v>
      </c>
      <c r="F18" s="21"/>
      <c r="G18" s="20">
        <f t="shared" si="2"/>
        <v>0</v>
      </c>
      <c r="H18" s="21"/>
      <c r="I18" s="20">
        <f t="shared" si="4"/>
        <v>0</v>
      </c>
      <c r="J18" s="78"/>
      <c r="K18" s="78">
        <f t="shared" si="5"/>
        <v>0</v>
      </c>
      <c r="L18" s="2"/>
      <c r="M18" s="29"/>
      <c r="N18" s="29"/>
      <c r="O18" s="19"/>
      <c r="P18" s="43"/>
    </row>
    <row r="19" spans="1:16" x14ac:dyDescent="0.2">
      <c r="A19" s="2"/>
      <c r="B19" s="25"/>
      <c r="C19" s="4"/>
      <c r="D19" s="39"/>
      <c r="E19" s="26">
        <f t="shared" si="0"/>
        <v>0</v>
      </c>
      <c r="F19" s="21"/>
      <c r="G19" s="20">
        <f t="shared" si="2"/>
        <v>0</v>
      </c>
      <c r="H19" s="21"/>
      <c r="I19" s="20">
        <f t="shared" si="4"/>
        <v>0</v>
      </c>
      <c r="J19" s="78"/>
      <c r="K19" s="78">
        <f t="shared" si="5"/>
        <v>0</v>
      </c>
      <c r="L19" s="2"/>
      <c r="M19" s="29"/>
      <c r="N19" s="29"/>
      <c r="O19" s="19"/>
      <c r="P19" s="43"/>
    </row>
    <row r="20" spans="1:16" x14ac:dyDescent="0.2">
      <c r="A20" s="2"/>
      <c r="B20" s="25"/>
      <c r="C20" s="4"/>
      <c r="D20" s="39"/>
      <c r="E20" s="26">
        <f t="shared" si="0"/>
        <v>0</v>
      </c>
      <c r="F20" s="21"/>
      <c r="G20" s="20">
        <f t="shared" si="2"/>
        <v>0</v>
      </c>
      <c r="H20" s="21"/>
      <c r="I20" s="20">
        <f t="shared" si="4"/>
        <v>0</v>
      </c>
      <c r="J20" s="78"/>
      <c r="K20" s="78">
        <f t="shared" si="5"/>
        <v>0</v>
      </c>
      <c r="L20" s="2"/>
      <c r="M20" s="29"/>
      <c r="N20" s="29"/>
      <c r="O20" s="19"/>
      <c r="P20" s="43"/>
    </row>
    <row r="21" spans="1:16" x14ac:dyDescent="0.2">
      <c r="A21" s="2"/>
      <c r="B21" s="25"/>
      <c r="C21" s="4"/>
      <c r="D21" s="39"/>
      <c r="E21" s="26">
        <f t="shared" si="0"/>
        <v>0</v>
      </c>
      <c r="F21" s="21"/>
      <c r="G21" s="20">
        <f t="shared" si="2"/>
        <v>0</v>
      </c>
      <c r="H21" s="21"/>
      <c r="I21" s="20">
        <f t="shared" si="4"/>
        <v>0</v>
      </c>
      <c r="J21" s="78"/>
      <c r="K21" s="78">
        <f t="shared" si="5"/>
        <v>0</v>
      </c>
      <c r="L21" s="2"/>
      <c r="M21" s="29"/>
      <c r="N21" s="29"/>
      <c r="O21" s="19"/>
      <c r="P21" s="43"/>
    </row>
    <row r="22" spans="1:16" x14ac:dyDescent="0.2">
      <c r="A22" s="2"/>
      <c r="B22" s="25"/>
      <c r="C22" s="4"/>
      <c r="D22" s="39"/>
      <c r="E22" s="26">
        <f t="shared" si="0"/>
        <v>0</v>
      </c>
      <c r="F22" s="21"/>
      <c r="G22" s="20">
        <f t="shared" si="2"/>
        <v>0</v>
      </c>
      <c r="H22" s="21"/>
      <c r="I22" s="20">
        <f t="shared" si="4"/>
        <v>0</v>
      </c>
      <c r="J22" s="78"/>
      <c r="K22" s="78">
        <f t="shared" si="5"/>
        <v>0</v>
      </c>
      <c r="L22" s="2"/>
      <c r="M22" s="29"/>
      <c r="N22" s="29"/>
      <c r="O22" s="19"/>
      <c r="P22" s="43"/>
    </row>
    <row r="23" spans="1:16" x14ac:dyDescent="0.2">
      <c r="A23" s="2"/>
      <c r="B23" s="25"/>
      <c r="C23" s="4"/>
      <c r="D23" s="39"/>
      <c r="E23" s="26">
        <f t="shared" si="0"/>
        <v>0</v>
      </c>
      <c r="F23" s="21"/>
      <c r="G23" s="20">
        <f t="shared" si="2"/>
        <v>0</v>
      </c>
      <c r="H23" s="21"/>
      <c r="I23" s="20">
        <f t="shared" si="4"/>
        <v>0</v>
      </c>
      <c r="J23" s="78"/>
      <c r="K23" s="78">
        <f t="shared" si="5"/>
        <v>0</v>
      </c>
      <c r="L23" s="2"/>
      <c r="M23" s="29"/>
      <c r="N23" s="29"/>
      <c r="O23" s="19"/>
      <c r="P23" s="43"/>
    </row>
    <row r="24" spans="1:16" x14ac:dyDescent="0.2">
      <c r="A24" s="2"/>
      <c r="B24" s="25"/>
      <c r="C24" s="4"/>
      <c r="D24" s="39"/>
      <c r="E24" s="26">
        <f t="shared" si="0"/>
        <v>0</v>
      </c>
      <c r="F24" s="21"/>
      <c r="G24" s="20">
        <f t="shared" si="2"/>
        <v>0</v>
      </c>
      <c r="H24" s="21"/>
      <c r="I24" s="20">
        <f t="shared" si="4"/>
        <v>0</v>
      </c>
      <c r="J24" s="78"/>
      <c r="K24" s="78">
        <f t="shared" si="5"/>
        <v>0</v>
      </c>
      <c r="L24" s="2"/>
      <c r="M24" s="29"/>
      <c r="N24" s="29"/>
      <c r="O24" s="19"/>
      <c r="P24" s="43"/>
    </row>
    <row r="25" spans="1:16" x14ac:dyDescent="0.2">
      <c r="A25" s="2"/>
      <c r="B25" s="25"/>
      <c r="C25" s="4"/>
      <c r="D25" s="39"/>
      <c r="E25" s="26">
        <f t="shared" si="0"/>
        <v>0</v>
      </c>
      <c r="F25" s="21"/>
      <c r="G25" s="20">
        <f t="shared" si="2"/>
        <v>0</v>
      </c>
      <c r="H25" s="21"/>
      <c r="I25" s="20">
        <f t="shared" si="4"/>
        <v>0</v>
      </c>
      <c r="J25" s="78"/>
      <c r="K25" s="78">
        <f t="shared" si="5"/>
        <v>0</v>
      </c>
      <c r="L25" s="2"/>
      <c r="M25" s="29"/>
      <c r="N25" s="29"/>
      <c r="O25" s="19"/>
      <c r="P25" s="43"/>
    </row>
    <row r="26" spans="1:16" x14ac:dyDescent="0.2">
      <c r="A26" s="2"/>
      <c r="B26" s="3"/>
      <c r="C26" s="4"/>
      <c r="D26" s="39"/>
      <c r="E26" s="26">
        <f t="shared" si="0"/>
        <v>0</v>
      </c>
      <c r="F26" s="21"/>
      <c r="G26" s="20">
        <f t="shared" si="2"/>
        <v>0</v>
      </c>
      <c r="H26" s="21"/>
      <c r="I26" s="20">
        <f t="shared" si="4"/>
        <v>0</v>
      </c>
      <c r="J26" s="78"/>
      <c r="K26" s="78">
        <f t="shared" si="5"/>
        <v>0</v>
      </c>
      <c r="L26" s="2"/>
      <c r="M26" s="29"/>
      <c r="N26" s="29"/>
      <c r="O26" s="4"/>
      <c r="P26" s="43"/>
    </row>
    <row r="27" spans="1:16" x14ac:dyDescent="0.2">
      <c r="A27" s="2"/>
      <c r="B27" s="3"/>
      <c r="C27" s="4"/>
      <c r="D27" s="39"/>
      <c r="E27" s="26">
        <f t="shared" si="0"/>
        <v>0</v>
      </c>
      <c r="F27" s="21"/>
      <c r="G27" s="20">
        <f t="shared" si="2"/>
        <v>0</v>
      </c>
      <c r="H27" s="21"/>
      <c r="I27" s="20">
        <f t="shared" si="4"/>
        <v>0</v>
      </c>
      <c r="J27" s="78"/>
      <c r="K27" s="78">
        <f t="shared" si="5"/>
        <v>0</v>
      </c>
      <c r="L27" s="2"/>
      <c r="M27" s="29"/>
      <c r="N27" s="29"/>
      <c r="O27" s="4"/>
      <c r="P27" s="43"/>
    </row>
    <row r="28" spans="1:16" x14ac:dyDescent="0.2">
      <c r="A28" s="2"/>
      <c r="B28" s="3"/>
      <c r="C28" s="4"/>
      <c r="D28" s="39"/>
      <c r="E28" s="26">
        <f t="shared" si="0"/>
        <v>0</v>
      </c>
      <c r="F28" s="21"/>
      <c r="G28" s="20">
        <f t="shared" si="2"/>
        <v>0</v>
      </c>
      <c r="H28" s="21"/>
      <c r="I28" s="20">
        <f t="shared" si="4"/>
        <v>0</v>
      </c>
      <c r="J28" s="78"/>
      <c r="K28" s="78">
        <f t="shared" si="5"/>
        <v>0</v>
      </c>
      <c r="L28" s="2"/>
      <c r="M28" s="29"/>
      <c r="N28" s="29"/>
      <c r="O28" s="4"/>
      <c r="P28" s="43"/>
    </row>
    <row r="29" spans="1:16" x14ac:dyDescent="0.2">
      <c r="A29" s="2"/>
      <c r="B29" s="3"/>
      <c r="C29" s="4"/>
      <c r="D29" s="39"/>
      <c r="E29" s="26">
        <f t="shared" si="0"/>
        <v>0</v>
      </c>
      <c r="F29" s="21"/>
      <c r="G29" s="20">
        <f t="shared" si="2"/>
        <v>0</v>
      </c>
      <c r="H29" s="21"/>
      <c r="I29" s="20">
        <f t="shared" si="4"/>
        <v>0</v>
      </c>
      <c r="J29" s="78"/>
      <c r="K29" s="78">
        <f t="shared" si="5"/>
        <v>0</v>
      </c>
      <c r="L29" s="2"/>
      <c r="M29" s="29"/>
      <c r="N29" s="29"/>
      <c r="O29" s="4"/>
      <c r="P29" s="43"/>
    </row>
    <row r="30" spans="1:16" ht="17" thickBot="1" x14ac:dyDescent="0.25">
      <c r="A30" s="5"/>
      <c r="B30" s="6"/>
      <c r="C30" s="7"/>
      <c r="D30" s="40"/>
      <c r="E30" s="15">
        <f t="shared" si="0"/>
        <v>0</v>
      </c>
      <c r="F30" s="23"/>
      <c r="G30" s="22">
        <f t="shared" si="2"/>
        <v>0</v>
      </c>
      <c r="H30" s="23"/>
      <c r="I30" s="22">
        <f t="shared" si="4"/>
        <v>0</v>
      </c>
      <c r="J30" s="79"/>
      <c r="K30" s="79">
        <f t="shared" si="5"/>
        <v>0</v>
      </c>
      <c r="L30" s="5"/>
      <c r="M30" s="33"/>
      <c r="N30" s="33"/>
      <c r="O30" s="7"/>
      <c r="P30" s="44"/>
    </row>
    <row r="31" spans="1:16" x14ac:dyDescent="0.2">
      <c r="D31" s="24" t="s">
        <v>12</v>
      </c>
      <c r="E31" s="24">
        <f>SUM(E4:E30)</f>
        <v>6.6844999999999999</v>
      </c>
      <c r="F31" s="24" t="s">
        <v>12</v>
      </c>
      <c r="G31" s="24">
        <f>SUM(G4:G30)</f>
        <v>66.844999999999999</v>
      </c>
      <c r="H31" s="24" t="s">
        <v>12</v>
      </c>
      <c r="I31" s="24">
        <f>SUM(I4:I30)</f>
        <v>167.11250000000001</v>
      </c>
      <c r="J31" s="24" t="s">
        <v>12</v>
      </c>
      <c r="K31" s="24">
        <f>SUM(K4:K30)</f>
        <v>80.213999999999999</v>
      </c>
      <c r="N31" s="30"/>
    </row>
    <row r="32" spans="1:16" x14ac:dyDescent="0.2">
      <c r="D32" t="s">
        <v>13</v>
      </c>
      <c r="E32" s="24">
        <f>E31</f>
        <v>6.6844999999999999</v>
      </c>
      <c r="F32" t="s">
        <v>13</v>
      </c>
      <c r="G32" s="35">
        <f>G31/10</f>
        <v>6.6844999999999999</v>
      </c>
      <c r="H32" t="s">
        <v>13</v>
      </c>
      <c r="I32" s="35">
        <f>I31/25</f>
        <v>6.6845000000000008</v>
      </c>
      <c r="J32" t="s">
        <v>13</v>
      </c>
      <c r="K32" s="35">
        <f>K31/K1</f>
        <v>6.6844999999999999</v>
      </c>
      <c r="N32" s="30"/>
    </row>
  </sheetData>
  <mergeCells count="7">
    <mergeCell ref="P2:P3"/>
    <mergeCell ref="A2:B2"/>
    <mergeCell ref="D2:E2"/>
    <mergeCell ref="F2:G2"/>
    <mergeCell ref="H2:I2"/>
    <mergeCell ref="J2:K2"/>
    <mergeCell ref="L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 Device</vt:lpstr>
      <vt:lpstr>Shield Parts</vt:lpstr>
      <vt:lpstr>LiCor_Leveling_Base</vt:lpstr>
      <vt:lpstr>MLX90614 Housing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Gunawardena</dc:creator>
  <cp:lastModifiedBy>Microsoft Office User</cp:lastModifiedBy>
  <dcterms:created xsi:type="dcterms:W3CDTF">2014-05-09T03:43:29Z</dcterms:created>
  <dcterms:modified xsi:type="dcterms:W3CDTF">2017-06-06T06:36:25Z</dcterms:modified>
</cp:coreProperties>
</file>