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/>
  </bookViews>
  <sheets>
    <sheet name="Full Device" sheetId="3" r:id="rId1"/>
    <sheet name="Shield Parts" sheetId="1" r:id="rId2"/>
    <sheet name="LiCor_Leveling_Base" sheetId="5" r:id="rId3"/>
    <sheet name="Current Qu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3" l="1"/>
  <c r="H26" i="3"/>
  <c r="F26" i="3"/>
  <c r="D26" i="3"/>
  <c r="D25" i="3"/>
  <c r="J25" i="3"/>
  <c r="H25" i="3"/>
  <c r="F25" i="3"/>
  <c r="J10" i="5"/>
  <c r="D4" i="5"/>
  <c r="E4" i="5"/>
  <c r="D5" i="5"/>
  <c r="E5" i="5"/>
  <c r="D6" i="5"/>
  <c r="E6" i="5"/>
  <c r="D7" i="5"/>
  <c r="E7" i="5"/>
  <c r="D8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24" i="3"/>
  <c r="J24" i="3"/>
  <c r="H4" i="5"/>
  <c r="I4" i="5"/>
  <c r="H5" i="5"/>
  <c r="I5" i="5"/>
  <c r="H6" i="5"/>
  <c r="I6" i="5"/>
  <c r="H7" i="5"/>
  <c r="I7" i="5"/>
  <c r="H8" i="5"/>
  <c r="I8" i="5"/>
  <c r="H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H24" i="3"/>
  <c r="F4" i="5"/>
  <c r="G4" i="5"/>
  <c r="F5" i="5"/>
  <c r="G5" i="5"/>
  <c r="F6" i="5"/>
  <c r="G6" i="5"/>
  <c r="F7" i="5"/>
  <c r="G7" i="5"/>
  <c r="F8" i="5"/>
  <c r="G8" i="5"/>
  <c r="F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F24" i="3"/>
  <c r="J9" i="5"/>
  <c r="J8" i="5"/>
  <c r="J7" i="5"/>
  <c r="J6" i="5"/>
  <c r="J5" i="5"/>
  <c r="J4" i="5"/>
  <c r="D23" i="3"/>
  <c r="E23" i="3"/>
  <c r="J23" i="3"/>
  <c r="F23" i="3"/>
  <c r="H23" i="3"/>
  <c r="D22" i="3"/>
  <c r="J22" i="3"/>
  <c r="H22" i="3"/>
  <c r="F22" i="3"/>
  <c r="J21" i="3"/>
  <c r="H21" i="3"/>
  <c r="F21" i="3"/>
  <c r="D20" i="3"/>
  <c r="E20" i="3"/>
  <c r="J20" i="3"/>
  <c r="H20" i="3"/>
  <c r="F20" i="3"/>
  <c r="J17" i="3"/>
  <c r="J11" i="3"/>
  <c r="H11" i="3"/>
  <c r="F11" i="3"/>
  <c r="D11" i="3"/>
  <c r="J10" i="3"/>
  <c r="H10" i="3"/>
  <c r="F10" i="3"/>
  <c r="D10" i="3"/>
  <c r="J18" i="3"/>
  <c r="H18" i="3"/>
  <c r="F18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J16" i="3"/>
  <c r="H16" i="3"/>
  <c r="J15" i="3"/>
  <c r="H15" i="3"/>
  <c r="H14" i="3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G7" i="4"/>
  <c r="G4" i="4"/>
  <c r="G5" i="4"/>
  <c r="G3" i="4"/>
  <c r="H7" i="4"/>
  <c r="H8" i="4"/>
  <c r="G6" i="4"/>
  <c r="H6" i="4"/>
  <c r="G10" i="4"/>
  <c r="H10" i="4"/>
  <c r="G11" i="4"/>
  <c r="H11" i="4"/>
  <c r="G9" i="4"/>
  <c r="H9" i="4"/>
  <c r="H4" i="4"/>
  <c r="H5" i="4"/>
  <c r="H3" i="4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<sst xmlns="http://schemas.openxmlformats.org/spreadsheetml/2006/main" count="612" uniqueCount="380">
  <si>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</si>
  <si>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</si>
  <si>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</si>
  <si>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</si>
  <si>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</si>
  <si>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</si>
  <si>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</si>
  <si>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</si>
  <si>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</si>
  <si>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</si>
  <si>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</si>
  <si>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</si>
  <si>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</si>
  <si>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</si>
  <si>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</si>
  <si>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</si>
  <si>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</si>
  <si>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</si>
  <si>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</si>
  <si>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</si>
  <si>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</si>
  <si>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</si>
  <si>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</si>
  <si>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</si>
  <si>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</si>
  <si>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</si>
  <si>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</si>
  <si>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</si>
  <si>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</si>
  <si>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</si>
  <si>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</si>
  <si>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</si>
  <si>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</si>
  <si>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</si>
  <si>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</si>
  <si>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</si>
  <si>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</si>
  <si>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</si>
  <si>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</si>
  <si>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</si>
  <si>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</si>
  <si>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</si>
  <si>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</si>
  <si>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</si>
  <si>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</si>
  <si>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</si>
  <si>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</si>
  <si>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</si>
  <si>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</si>
  <si>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</si>
  <si>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</si>
  <si>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</si>
  <si>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</si>
  <si>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</si>
  <si>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</si>
  <si>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</si>
  <si>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</si>
  <si>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</si>
  <si>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</si>
  <si>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</si>
  <si>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</si>
  <si>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</si>
  <si>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</si>
  <si>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</si>
  <si>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</si>
  <si>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</si>
  <si>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</si>
  <si>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</si>
  <si>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</si>
  <si>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</si>
  <si>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</si>
  <si>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</si>
  <si>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</si>
  <si>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</si>
  <si>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</si>
  <si>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</si>
  <si>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</si>
  <si>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</si>
  <si>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</si>
  <si>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</si>
  <si>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</si>
  <si>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</si>
  <si>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</si>
  <si>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</si>
  <si>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</si>
  <si>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</si>
  <si>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</si>
  <si>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</si>
  <si>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</si>
  <si>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</si>
  <si>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</si>
  <si>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</si>
  <si>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</si>
  <si>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</si>
  <si>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</si>
  <si>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</si>
  <si>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</si>
  <si>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</si>
  <si>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</si>
  <si>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</si>
  <si>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</si>
  <si>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</si>
  <si>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</si>
  <si>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</si>
  <si>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</si>
  <si>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</si>
  <si>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</si>
  <si>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</si>
  <si>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</si>
  <si>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</si>
  <si>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</si>
  <si>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</si>
  <si>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</si>
  <si>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</si>
  <si>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</si>
  <si>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</si>
  <si>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</si>
  <si>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</si>
  <si>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</si>
  <si>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</si>
  <si>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</si>
  <si>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</si>
  <si>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</si>
  <si>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</si>
  <si>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</si>
  <si>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</si>
  <si>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</si>
  <si>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</si>
  <si>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</si>
  <si>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</si>
  <si>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</si>
  <si>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</si>
  <si>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</si>
  <si>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</si>
  <si>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</si>
  <si>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</si>
  <si>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</si>
  <si>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</si>
  <si>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</si>
  <si>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</si>
  <si>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</si>
  <si>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</si>
  <si>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</si>
  <si>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</si>
  <si>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</si>
  <si>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</si>
  <si>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</si>
  <si>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</si>
  <si>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</si>
  <si>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</si>
  <si>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</si>
  <si>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</si>
  <si>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</si>
  <si>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</si>
  <si>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</si>
  <si>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</si>
  <si>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</si>
  <si>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</si>
  <si>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</si>
  <si>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</si>
  <si>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</si>
  <si>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</si>
  <si>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</si>
  <si>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</si>
  <si>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</si>
  <si>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</si>
  <si>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</si>
  <si>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</si>
  <si>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</si>
  <si>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</si>
  <si>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</si>
  <si>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</si>
  <si>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</si>
  <si>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</si>
  <si>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</si>
  <si>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</si>
  <si>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</si>
  <si>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</si>
  <si>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</si>
  <si>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</si>
  <si>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</si>
  <si>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</si>
  <si>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</si>
  <si>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</si>
  <si>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</si>
  <si>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</si>
  <si>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</si>
  <si>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</si>
  <si>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</si>
  <si>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</si>
  <si>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</si>
  <si>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</si>
  <si>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</si>
  <si>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</si>
  <si>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</si>
  <si>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</si>
  <si>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</si>
  <si>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</si>
  <si>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</si>
  <si>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</si>
  <si>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</si>
  <si>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</si>
  <si>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</si>
  <si>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</si>
  <si>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</si>
  <si>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</si>
  <si>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</si>
  <si>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</si>
  <si>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</si>
  <si>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</si>
  <si>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</si>
  <si>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</si>
  <si>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</si>
  <si>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</si>
  <si>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</si>
  <si>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</si>
  <si>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</si>
  <si>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</si>
  <si>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</si>
  <si>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</si>
  <si>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</si>
  <si>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</si>
  <si>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</si>
  <si>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</si>
  <si>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</si>
  <si>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</si>
  <si>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</si>
  <si>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</si>
  <si>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</si>
  <si>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</si>
  <si>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</si>
  <si>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</si>
  <si>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</si>
  <si>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</si>
  <si>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</si>
  <si>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</si>
  <si>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</si>
  <si>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</si>
  <si>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</si>
  <si>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</si>
  <si>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</si>
  <si>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</si>
  <si>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</si>
  <si>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</si>
  <si>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</si>
  <si>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</si>
  <si>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</si>
  <si>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</si>
  <si>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</si>
  <si>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</si>
  <si>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</si>
  <si>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</si>
  <si>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</si>
  <si>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Company</t>
  </si>
  <si>
    <t>Last Updated</t>
  </si>
  <si>
    <t>Service</t>
  </si>
  <si>
    <t>Quantity</t>
  </si>
  <si>
    <t>Screaming Circuits</t>
  </si>
  <si>
    <t>Assembly</t>
  </si>
  <si>
    <t>Cost Quoted</t>
  </si>
  <si>
    <t>Total Turn Time</t>
  </si>
  <si>
    <t>20 Day</t>
  </si>
  <si>
    <t>10 Day Full Proto</t>
  </si>
  <si>
    <t>Add approximately $89.28 for power supply, SD Card holder; 10% Discount for being a student. Requires boards from OshPark!</t>
  </si>
  <si>
    <t>Add approximately $148.8 for power supply, SD Card holder; 10% Discount for being a student. Requires panelization and boards from OshPark!</t>
  </si>
  <si>
    <t>Add approximately $89.28 for power supply, SD Card holder; 10% Discount for being a student. Requires panelization and boards from OshPark!</t>
  </si>
  <si>
    <t>Osh Park</t>
  </si>
  <si>
    <t>Printing</t>
  </si>
  <si>
    <t>12 Calendar Days</t>
  </si>
  <si>
    <t>Not Panelized! Cost will change with panelization</t>
  </si>
  <si>
    <t>4PCB</t>
  </si>
  <si>
    <t>Assembly+Printing</t>
  </si>
  <si>
    <t>Cost Quoted+Extra Parts/Quantities (See formula for details)</t>
  </si>
  <si>
    <t>10 Day</t>
  </si>
  <si>
    <t>Includes everything</t>
  </si>
  <si>
    <t>26 Day</t>
  </si>
  <si>
    <t>Add approximately $89.28 for power supply, SD Card holder; 10% Discount for being a student</t>
  </si>
  <si>
    <t>Quote is for 3 panels containing 4 pcbs each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</si>
  <si>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</si>
  <si>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</si>
  <si>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</si>
  <si>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</si>
  <si>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</si>
  <si>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</si>
  <si>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</si>
  <si>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</si>
  <si>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</si>
  <si>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</si>
  <si>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</si>
  <si>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</si>
  <si>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</si>
  <si>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12V Battery</t>
  </si>
  <si>
    <t>Seahorse SE-120 Waterproof Case</t>
  </si>
  <si>
    <t>Fuerte Cases</t>
  </si>
  <si>
    <t>SE-120</t>
  </si>
  <si>
    <t>http://seahorsecases.com/Merchant2/merchant.mvc?Screen=PROD&amp;Store_Code=S&amp;Product_Code=SE-120&amp;Category_Code=SE_CASES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</si>
  <si>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</si>
  <si>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</si>
  <si>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</si>
  <si>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</si>
  <si>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</si>
  <si>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</si>
  <si>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</si>
  <si>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</si>
  <si>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</si>
  <si>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</si>
  <si>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</si>
  <si>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</si>
  <si>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</si>
  <si>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</si>
  <si>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Other options available, see https://no.co/products/solar. Noco UPC: 0-46221-12069-1. More expensive on Noco website</t>
  </si>
  <si>
    <t>Other options available, see https://no.co/products/solar. Noco UPC: 0-46221-13106-2. More expensive on Noco website</t>
  </si>
  <si>
    <t>Davis Anemometer</t>
  </si>
  <si>
    <t>Hodges Marine</t>
  </si>
  <si>
    <t>DAV6410</t>
  </si>
  <si>
    <t>http://www.hodgesmarine.com/Davis-Anemometer-F-Vantage-Pro2-153-Vantage-p/dav6410.htm</t>
  </si>
  <si>
    <t>Red cells indicate values calculated from quotes</t>
  </si>
  <si>
    <t>LiCor Li200 Pyranometer</t>
  </si>
  <si>
    <t>LiCor</t>
  </si>
  <si>
    <t>Li-200R</t>
  </si>
  <si>
    <t>https://www.licor.com</t>
  </si>
  <si>
    <t>Can order online or with quote. Unsure whether online gets you quantity discount</t>
  </si>
  <si>
    <t>Decagon 5TM Soil Sensor</t>
  </si>
  <si>
    <t>Decagon</t>
  </si>
  <si>
    <t>5TM</t>
  </si>
  <si>
    <t>https://www.decagon.com/en/</t>
  </si>
  <si>
    <t>Need quote to order</t>
  </si>
  <si>
    <t>Wide Range 1/8" Blind Rivet</t>
  </si>
  <si>
    <t>97530A030</t>
  </si>
  <si>
    <t>https://www.mcmaster.com/#97530a030/=14t3x41</t>
  </si>
  <si>
    <t>Comes in box of 100</t>
  </si>
  <si>
    <t>1/8" Thick Aluminum Strip</t>
  </si>
  <si>
    <t>2474T11</t>
  </si>
  <si>
    <t>6' Long, 1" Wide</t>
  </si>
  <si>
    <t>https://www.mcmaster.com/#2474t11/=14txki1</t>
  </si>
  <si>
    <t>Can get in orders of different lengths</t>
  </si>
  <si>
    <t>Dessicant</t>
  </si>
  <si>
    <t>3492T15</t>
  </si>
  <si>
    <t>https://www.mcmaster.com/#3492t15/=14r8wyx</t>
  </si>
  <si>
    <t xml:space="preserve">Comes in box of 10 </t>
  </si>
  <si>
    <t>Silicone Sealing Washer</t>
  </si>
  <si>
    <t>99604A103</t>
  </si>
  <si>
    <t>https://www.mcmaster.com/#99604a103/=14t3xma</t>
  </si>
  <si>
    <t>Comes in box of 50</t>
  </si>
  <si>
    <t>McMaster</t>
  </si>
  <si>
    <t>95475A509</t>
  </si>
  <si>
    <t>https://www.mcmaster.com/#95475a509/=14txpr7</t>
  </si>
  <si>
    <t>2" 10-32 Threaded Rod</t>
  </si>
  <si>
    <t>10-32 Wing Nut</t>
  </si>
  <si>
    <t>90866A111</t>
  </si>
  <si>
    <t>https://www.mcmaster.com/#90866a111/=14txqey</t>
  </si>
  <si>
    <t>Compression Spring</t>
  </si>
  <si>
    <t>9657K276</t>
  </si>
  <si>
    <t>https://www.mcmaster.com/#9657k276/=14txsar</t>
  </si>
  <si>
    <t>10-32 Right Hand Helicoil</t>
  </si>
  <si>
    <t>91732A725</t>
  </si>
  <si>
    <t>https://www.mcmaster.com/#91732a725/=14ty2ad</t>
  </si>
  <si>
    <t>Comes in box of 12</t>
  </si>
  <si>
    <t>10-32 Thread Set Screw</t>
  </si>
  <si>
    <t>92311A832</t>
  </si>
  <si>
    <t>https://www.mcmaster.com/#92311A832</t>
  </si>
  <si>
    <t>Bubble Level</t>
  </si>
  <si>
    <t>2147A61</t>
  </si>
  <si>
    <t>https://www.mcmaster.com/#2147a61/=14ty9lt</t>
  </si>
  <si>
    <t>LiCor Base</t>
  </si>
  <si>
    <t>-</t>
  </si>
  <si>
    <t>See LiCor_Leveling_Base sheet for details</t>
  </si>
  <si>
    <t>4" Long, Thick Wall PVC Unthreaded 3/4 Pipe Size</t>
  </si>
  <si>
    <t>48855K22</t>
  </si>
  <si>
    <t>https://www.mcmaster.com/#48855K22</t>
  </si>
  <si>
    <t>Comes in lengths of 5'. Other lengths available</t>
  </si>
  <si>
    <t>1/4" Washer</t>
  </si>
  <si>
    <t>90108A413</t>
  </si>
  <si>
    <t>https://www.mcmaster.com/#90108a413/=14xie31</t>
  </si>
  <si>
    <t>1&amp;5/16" to 2&amp;1/4" Hose Clamp</t>
  </si>
  <si>
    <t>Lowes</t>
  </si>
  <si>
    <t xml:space="preserve">https://www.lowes.com/pd/10-Pack-1-5-16-in-to-2-1-4-in-dia-Stainless-Steel-Adjustable-Clamps/3878586 </t>
  </si>
  <si>
    <t>94579</t>
  </si>
  <si>
    <t>Comes in packs of 10</t>
  </si>
  <si>
    <t>Goes around silicon washer to add thickness for rivet to clamp onto. Comes in packs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</si>
</sst>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2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2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2" fillId="0" borderId="5" xfId="17" applyFill="1" applyBorder="1"/>
    <xf numFmtId="0" fontId="2" fillId="0" borderId="8" xfId="17" applyBorder="1"/>
    <xf numFmtId="14" fontId="0" fillId="0" borderId="0" xfId="0" applyNumberFormat="1"/>
    <xf numFmtId="0" fontId="4" fillId="0" borderId="6" xfId="0" applyFont="1" applyBorder="1"/>
    <xf numFmtId="0" fontId="4" fillId="0" borderId="6" xfId="0" applyFont="1" applyFill="1" applyBorder="1"/>
    <xf numFmtId="44" fontId="4" fillId="0" borderId="6" xfId="20" applyFont="1" applyBorder="1"/>
    <xf numFmtId="44" fontId="0" fillId="0" borderId="0" xfId="20" applyFont="1"/>
    <xf numFmtId="44" fontId="4" fillId="0" borderId="6" xfId="20" applyFont="1" applyFill="1" applyBorder="1"/>
    <xf numFmtId="14" fontId="4" fillId="0" borderId="6" xfId="0" applyNumberFormat="1" applyFont="1" applyBorder="1"/>
    <xf numFmtId="44" fontId="0" fillId="0" borderId="0" xfId="20" applyNumberFormat="1" applyFont="1"/>
    <xf numFmtId="44" fontId="4" fillId="0" borderId="6" xfId="20" applyNumberFormat="1" applyFont="1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2" xfId="0" applyBorder="1" applyAlignment="1">
      <alignment horizontal="center"/>
    </xf>
    <xf numFmtId="164" fontId="0" fillId="0" borderId="4" xfId="0" applyNumberFormat="1" applyFill="1" applyBorder="1"/>
    <xf numFmtId="44" fontId="0" fillId="0" borderId="4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Relationship Id="rId3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B28" sqref="B28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F1" t="s">
        <v>316</v>
      </c>
      <c r="J1" t="s">
        <v>282</v>
      </c>
      <c r="K1">
        <v>12</v>
      </c>
      <c r="N1" s="30"/>
    </row>
    <row r="2" spans="1:16" ht="17" thickBot="1" x14ac:dyDescent="0.25">
      <c r="A2" s="97" t="s">
        <v>5</v>
      </c>
      <c r="B2" s="98"/>
      <c r="C2" s="17"/>
      <c r="D2" s="97" t="s">
        <v>4</v>
      </c>
      <c r="E2" s="99"/>
      <c r="F2" s="100" t="s">
        <v>6</v>
      </c>
      <c r="G2" s="99"/>
      <c r="H2" s="97" t="s">
        <v>7</v>
      </c>
      <c r="I2" s="99"/>
      <c r="J2" s="102" t="s">
        <v>281</v>
      </c>
      <c r="K2" s="103"/>
      <c r="L2" s="97" t="s">
        <v>8</v>
      </c>
      <c r="M2" s="101"/>
      <c r="N2" s="98"/>
      <c r="O2" s="99"/>
      <c r="P2" s="95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6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87">
        <f>F4</f>
        <v>0.81200000000000006</v>
      </c>
      <c r="K4" s="87">
        <f>J4*$K$1</f>
        <v>9.7439999999999998</v>
      </c>
      <c r="L4" s="2" t="s">
        <v>41</v>
      </c>
      <c r="M4" s="29" t="s">
        <v>278</v>
      </c>
      <c r="N4" s="29" t="s">
        <v>18</v>
      </c>
      <c r="O4" s="19" t="s">
        <v>279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87">
        <f>F5</f>
        <v>24.95</v>
      </c>
      <c r="K5" s="87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310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87">
        <f>F6</f>
        <v>12.95</v>
      </c>
      <c r="K6" s="87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311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87">
        <f>F7</f>
        <v>23.7</v>
      </c>
      <c r="K7" s="87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87">
        <f>F8</f>
        <v>1.7549999999999999</v>
      </c>
      <c r="K8" s="87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280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87">
        <f>331.5/12</f>
        <v>27.625</v>
      </c>
      <c r="K9" s="87">
        <f t="shared" si="3"/>
        <v>331.5</v>
      </c>
      <c r="L9" s="2" t="s">
        <v>266</v>
      </c>
      <c r="M9" s="32" t="s">
        <v>18</v>
      </c>
      <c r="N9" s="32" t="s">
        <v>18</v>
      </c>
      <c r="O9" s="19" t="s">
        <v>286</v>
      </c>
      <c r="P9" s="43" t="s">
        <v>284</v>
      </c>
    </row>
    <row r="10" spans="1:16" x14ac:dyDescent="0.2">
      <c r="A10" s="2"/>
      <c r="B10" s="25" t="s">
        <v>285</v>
      </c>
      <c r="C10" s="4">
        <v>1</v>
      </c>
      <c r="D10" s="89">
        <f>J10*1</f>
        <v>70.732500000000002</v>
      </c>
      <c r="E10" s="58">
        <f t="shared" si="0"/>
        <v>70.732500000000002</v>
      </c>
      <c r="F10" s="90">
        <f>J10</f>
        <v>70.732500000000002</v>
      </c>
      <c r="G10" s="59">
        <f t="shared" si="1"/>
        <v>707.32500000000005</v>
      </c>
      <c r="H10" s="90">
        <f>J10</f>
        <v>70.732500000000002</v>
      </c>
      <c r="I10" s="59">
        <f t="shared" si="2"/>
        <v>1768.3125</v>
      </c>
      <c r="J10" s="87">
        <f>(943.1-94.31)/12</f>
        <v>70.732500000000002</v>
      </c>
      <c r="K10" s="87">
        <f t="shared" si="3"/>
        <v>848.79</v>
      </c>
      <c r="L10" s="2" t="s">
        <v>257</v>
      </c>
      <c r="M10" s="32" t="s">
        <v>18</v>
      </c>
      <c r="N10" s="32" t="s">
        <v>18</v>
      </c>
      <c r="O10" s="19" t="s">
        <v>287</v>
      </c>
      <c r="P10" s="43" t="s">
        <v>288</v>
      </c>
    </row>
    <row r="11" spans="1:16" x14ac:dyDescent="0.2">
      <c r="A11" s="2"/>
      <c r="B11" s="25" t="s">
        <v>289</v>
      </c>
      <c r="C11" s="4">
        <v>1</v>
      </c>
      <c r="D11" s="89">
        <f>J11</f>
        <v>58.594166666666666</v>
      </c>
      <c r="E11" s="58">
        <f t="shared" si="0"/>
        <v>58.594166666666666</v>
      </c>
      <c r="F11" s="90">
        <f>J11</f>
        <v>58.594166666666666</v>
      </c>
      <c r="G11" s="59">
        <f t="shared" si="1"/>
        <v>585.94166666666661</v>
      </c>
      <c r="H11" s="90">
        <f>J11</f>
        <v>58.594166666666666</v>
      </c>
      <c r="I11" s="59">
        <f t="shared" si="2"/>
        <v>1464.8541666666667</v>
      </c>
      <c r="J11" s="87">
        <f>703.13/12</f>
        <v>58.594166666666666</v>
      </c>
      <c r="K11" s="87">
        <f t="shared" si="3"/>
        <v>703.13</v>
      </c>
      <c r="L11" s="2" t="s">
        <v>257</v>
      </c>
      <c r="M11" s="32" t="s">
        <v>18</v>
      </c>
      <c r="N11" s="32" t="s">
        <v>18</v>
      </c>
      <c r="O11" s="19" t="s">
        <v>287</v>
      </c>
      <c r="P11" s="43" t="s">
        <v>290</v>
      </c>
    </row>
    <row r="12" spans="1:16" x14ac:dyDescent="0.2">
      <c r="A12" s="2"/>
      <c r="B12" s="25" t="s">
        <v>291</v>
      </c>
      <c r="C12" s="4">
        <v>1</v>
      </c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87"/>
      <c r="K12" s="87">
        <f t="shared" si="3"/>
        <v>0</v>
      </c>
      <c r="L12" s="2"/>
      <c r="M12" s="29"/>
      <c r="N12" s="29"/>
      <c r="O12" s="19"/>
      <c r="P12" s="43"/>
    </row>
    <row r="13" spans="1:16" x14ac:dyDescent="0.2">
      <c r="A13" s="2"/>
      <c r="B13" s="25" t="s">
        <v>292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87">
        <v>11.83</v>
      </c>
      <c r="K13" s="87">
        <f t="shared" si="3"/>
        <v>141.96</v>
      </c>
      <c r="L13" s="2" t="s">
        <v>293</v>
      </c>
      <c r="M13" s="32" t="s">
        <v>294</v>
      </c>
      <c r="N13" s="29" t="s">
        <v>18</v>
      </c>
      <c r="O13" s="19" t="s">
        <v>295</v>
      </c>
      <c r="P13" s="43" t="s">
        <v>296</v>
      </c>
    </row>
    <row r="14" spans="1:16" x14ac:dyDescent="0.2">
      <c r="A14" s="2"/>
      <c r="B14" s="25" t="s">
        <v>297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87">
        <v>39.99</v>
      </c>
      <c r="K14" s="87">
        <f t="shared" si="3"/>
        <v>479.88</v>
      </c>
      <c r="L14" s="2" t="s">
        <v>298</v>
      </c>
      <c r="M14" s="29" t="s">
        <v>299</v>
      </c>
      <c r="N14" s="29" t="s">
        <v>18</v>
      </c>
      <c r="O14" s="19" t="s">
        <v>300</v>
      </c>
      <c r="P14" s="43" t="s">
        <v>301</v>
      </c>
    </row>
    <row r="15" spans="1:16" x14ac:dyDescent="0.2">
      <c r="A15" s="2"/>
      <c r="B15" s="25" t="s">
        <v>302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87">
        <f>F15</f>
        <v>12.56</v>
      </c>
      <c r="K15" s="87">
        <f t="shared" si="3"/>
        <v>150.72</v>
      </c>
      <c r="L15" s="2" t="s">
        <v>303</v>
      </c>
      <c r="M15" s="29">
        <v>2857</v>
      </c>
      <c r="N15" s="29" t="s">
        <v>18</v>
      </c>
      <c r="O15" s="19" t="s">
        <v>304</v>
      </c>
      <c r="P15" s="43"/>
    </row>
    <row r="16" spans="1:16" x14ac:dyDescent="0.2">
      <c r="A16" s="2"/>
      <c r="B16" s="25" t="s">
        <v>305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87">
        <f>F16</f>
        <v>13.46</v>
      </c>
      <c r="K16" s="87">
        <f t="shared" si="3"/>
        <v>161.52000000000001</v>
      </c>
      <c r="L16" s="2" t="s">
        <v>306</v>
      </c>
      <c r="M16" s="32" t="s">
        <v>307</v>
      </c>
      <c r="N16" s="32" t="s">
        <v>18</v>
      </c>
      <c r="O16" s="27" t="s">
        <v>308</v>
      </c>
      <c r="P16" s="43" t="s">
        <v>309</v>
      </c>
    </row>
    <row r="17" spans="1:16" x14ac:dyDescent="0.2">
      <c r="A17" s="2"/>
      <c r="B17" s="25" t="s">
        <v>322</v>
      </c>
      <c r="C17" s="4">
        <v>2</v>
      </c>
      <c r="D17" s="39">
        <v>186</v>
      </c>
      <c r="E17" s="26">
        <f t="shared" si="0"/>
        <v>372</v>
      </c>
      <c r="F17" s="21">
        <v>167</v>
      </c>
      <c r="G17" s="20">
        <f t="shared" si="1"/>
        <v>3340</v>
      </c>
      <c r="H17" s="21">
        <v>167</v>
      </c>
      <c r="I17" s="20">
        <f t="shared" si="2"/>
        <v>8350</v>
      </c>
      <c r="J17" s="87">
        <f>H17*C17</f>
        <v>334</v>
      </c>
      <c r="K17" s="87">
        <f t="shared" si="3"/>
        <v>4008</v>
      </c>
      <c r="L17" s="2" t="s">
        <v>323</v>
      </c>
      <c r="M17" s="29" t="s">
        <v>324</v>
      </c>
      <c r="N17" s="29" t="s">
        <v>18</v>
      </c>
      <c r="O17" s="19" t="s">
        <v>325</v>
      </c>
      <c r="P17" s="43" t="s">
        <v>326</v>
      </c>
    </row>
    <row r="18" spans="1:16" x14ac:dyDescent="0.2">
      <c r="A18" s="2"/>
      <c r="B18" s="25" t="s">
        <v>312</v>
      </c>
      <c r="C18" s="4">
        <v>1</v>
      </c>
      <c r="D18" s="39">
        <v>106.99</v>
      </c>
      <c r="E18" s="26">
        <f t="shared" si="0"/>
        <v>106.99</v>
      </c>
      <c r="F18" s="21">
        <f>D18</f>
        <v>106.99</v>
      </c>
      <c r="G18" s="20">
        <f t="shared" si="1"/>
        <v>1069.8999999999999</v>
      </c>
      <c r="H18" s="21">
        <f>D18</f>
        <v>106.99</v>
      </c>
      <c r="I18" s="20">
        <f t="shared" si="2"/>
        <v>2674.75</v>
      </c>
      <c r="J18" s="87">
        <f>D18</f>
        <v>106.99</v>
      </c>
      <c r="K18" s="87">
        <f t="shared" si="3"/>
        <v>1283.8799999999999</v>
      </c>
      <c r="L18" s="2" t="s">
        <v>313</v>
      </c>
      <c r="M18" s="29" t="s">
        <v>314</v>
      </c>
      <c r="N18" s="29" t="s">
        <v>18</v>
      </c>
      <c r="O18" s="19" t="s">
        <v>315</v>
      </c>
      <c r="P18" s="43"/>
    </row>
    <row r="19" spans="1:16" x14ac:dyDescent="0.2">
      <c r="A19" s="2"/>
      <c r="B19" s="25" t="s">
        <v>317</v>
      </c>
      <c r="C19" s="4">
        <v>1</v>
      </c>
      <c r="D19" s="39">
        <v>270</v>
      </c>
      <c r="E19" s="26">
        <f t="shared" si="0"/>
        <v>270</v>
      </c>
      <c r="F19" s="21">
        <v>259.2</v>
      </c>
      <c r="G19" s="20">
        <f t="shared" si="1"/>
        <v>2592</v>
      </c>
      <c r="H19" s="21">
        <v>259.2</v>
      </c>
      <c r="I19" s="20">
        <f t="shared" si="2"/>
        <v>6480</v>
      </c>
      <c r="J19" s="87">
        <v>259.2</v>
      </c>
      <c r="K19" s="87">
        <f t="shared" si="3"/>
        <v>3110.3999999999996</v>
      </c>
      <c r="L19" s="2" t="s">
        <v>318</v>
      </c>
      <c r="M19" s="29" t="s">
        <v>319</v>
      </c>
      <c r="N19" s="29" t="s">
        <v>18</v>
      </c>
      <c r="O19" s="19" t="s">
        <v>320</v>
      </c>
      <c r="P19" s="43" t="s">
        <v>321</v>
      </c>
    </row>
    <row r="20" spans="1:16" x14ac:dyDescent="0.2">
      <c r="A20" s="2"/>
      <c r="B20" s="25" t="s">
        <v>327</v>
      </c>
      <c r="C20" s="4">
        <v>3</v>
      </c>
      <c r="D20" s="39">
        <f>8.19/100</f>
        <v>8.1900000000000001E-2</v>
      </c>
      <c r="E20" s="26">
        <f t="shared" si="0"/>
        <v>0.2457</v>
      </c>
      <c r="F20" s="21">
        <f>D20</f>
        <v>8.1900000000000001E-2</v>
      </c>
      <c r="G20" s="20">
        <f t="shared" si="1"/>
        <v>2.4569999999999999</v>
      </c>
      <c r="H20" s="21">
        <f>D20</f>
        <v>8.1900000000000001E-2</v>
      </c>
      <c r="I20" s="20">
        <f t="shared" si="2"/>
        <v>6.1425000000000001</v>
      </c>
      <c r="J20" s="87">
        <f>E20</f>
        <v>0.2457</v>
      </c>
      <c r="K20" s="87">
        <f t="shared" si="3"/>
        <v>2.9483999999999999</v>
      </c>
      <c r="L20" s="2" t="s">
        <v>344</v>
      </c>
      <c r="M20" s="29" t="s">
        <v>328</v>
      </c>
      <c r="N20" s="29" t="s">
        <v>18</v>
      </c>
      <c r="O20" s="19" t="s">
        <v>329</v>
      </c>
      <c r="P20" s="43" t="s">
        <v>330</v>
      </c>
    </row>
    <row r="21" spans="1:16" x14ac:dyDescent="0.2">
      <c r="A21" s="2"/>
      <c r="B21" s="25" t="s">
        <v>331</v>
      </c>
      <c r="C21" s="4">
        <v>1</v>
      </c>
      <c r="D21" s="39">
        <v>0.31708333300000002</v>
      </c>
      <c r="E21" s="26">
        <f t="shared" si="0"/>
        <v>0.31708333300000002</v>
      </c>
      <c r="F21" s="21">
        <f>D21</f>
        <v>0.31708333300000002</v>
      </c>
      <c r="G21" s="20">
        <f t="shared" si="1"/>
        <v>3.1708333300000002</v>
      </c>
      <c r="H21" s="21">
        <f>D21</f>
        <v>0.31708333300000002</v>
      </c>
      <c r="I21" s="20">
        <f t="shared" si="2"/>
        <v>7.9270833250000008</v>
      </c>
      <c r="J21" s="87">
        <f>D21</f>
        <v>0.31708333300000002</v>
      </c>
      <c r="K21" s="87">
        <f t="shared" si="3"/>
        <v>3.8049999960000003</v>
      </c>
      <c r="L21" s="2" t="s">
        <v>344</v>
      </c>
      <c r="M21" s="29" t="s">
        <v>332</v>
      </c>
      <c r="N21" s="29" t="s">
        <v>333</v>
      </c>
      <c r="O21" s="19" t="s">
        <v>334</v>
      </c>
      <c r="P21" s="43" t="s">
        <v>335</v>
      </c>
    </row>
    <row r="22" spans="1:16" x14ac:dyDescent="0.2">
      <c r="A22" s="2"/>
      <c r="B22" s="25" t="s">
        <v>336</v>
      </c>
      <c r="C22" s="4">
        <v>1</v>
      </c>
      <c r="D22" s="39">
        <f>10.96/10</f>
        <v>1.0960000000000001</v>
      </c>
      <c r="E22" s="26">
        <f t="shared" si="0"/>
        <v>1.0960000000000001</v>
      </c>
      <c r="F22" s="21">
        <f>D22</f>
        <v>1.0960000000000001</v>
      </c>
      <c r="G22" s="20">
        <f t="shared" si="1"/>
        <v>10.96</v>
      </c>
      <c r="H22" s="21">
        <f>D22</f>
        <v>1.0960000000000001</v>
      </c>
      <c r="I22" s="20">
        <f t="shared" si="2"/>
        <v>27.400000000000002</v>
      </c>
      <c r="J22" s="87">
        <f>D22</f>
        <v>1.0960000000000001</v>
      </c>
      <c r="K22" s="87">
        <f t="shared" si="3"/>
        <v>13.152000000000001</v>
      </c>
      <c r="L22" s="2" t="s">
        <v>344</v>
      </c>
      <c r="M22" s="29" t="s">
        <v>337</v>
      </c>
      <c r="N22" s="29" t="s">
        <v>18</v>
      </c>
      <c r="O22" s="19" t="s">
        <v>338</v>
      </c>
      <c r="P22" s="43" t="s">
        <v>339</v>
      </c>
    </row>
    <row r="23" spans="1:16" x14ac:dyDescent="0.2">
      <c r="A23" s="2"/>
      <c r="B23" s="25" t="s">
        <v>340</v>
      </c>
      <c r="C23" s="4">
        <v>2</v>
      </c>
      <c r="D23" s="39">
        <f>7.36/50</f>
        <v>0.1472</v>
      </c>
      <c r="E23" s="26">
        <f t="shared" si="0"/>
        <v>0.2944</v>
      </c>
      <c r="F23" s="21">
        <f>D23</f>
        <v>0.1472</v>
      </c>
      <c r="G23" s="20">
        <f t="shared" si="1"/>
        <v>2.944</v>
      </c>
      <c r="H23" s="21">
        <f>D23</f>
        <v>0.1472</v>
      </c>
      <c r="I23" s="20">
        <f t="shared" si="2"/>
        <v>7.3599999999999994</v>
      </c>
      <c r="J23" s="87">
        <f>E23</f>
        <v>0.2944</v>
      </c>
      <c r="K23" s="87">
        <f t="shared" si="3"/>
        <v>3.5327999999999999</v>
      </c>
      <c r="L23" s="2" t="s">
        <v>344</v>
      </c>
      <c r="M23" s="29" t="s">
        <v>341</v>
      </c>
      <c r="N23" s="29" t="s">
        <v>18</v>
      </c>
      <c r="O23" s="19" t="s">
        <v>342</v>
      </c>
      <c r="P23" s="43" t="s">
        <v>343</v>
      </c>
    </row>
    <row r="24" spans="1:16" x14ac:dyDescent="0.2">
      <c r="A24" s="2"/>
      <c r="B24" s="25" t="s">
        <v>364</v>
      </c>
      <c r="C24" s="4">
        <v>1</v>
      </c>
      <c r="D24" s="39">
        <f>LiCor_Leveling_Base!$E$32</f>
        <v>9.9203666669999997</v>
      </c>
      <c r="E24" s="26">
        <f t="shared" si="0"/>
        <v>9.9203666669999997</v>
      </c>
      <c r="F24" s="21">
        <f>LiCor_Leveling_Base!$G$32</f>
        <v>9.9203666669999997</v>
      </c>
      <c r="G24" s="20">
        <f t="shared" si="1"/>
        <v>99.20366666999999</v>
      </c>
      <c r="H24" s="21">
        <f>LiCor_Leveling_Base!$I$32</f>
        <v>9.9203666669999997</v>
      </c>
      <c r="I24" s="20">
        <f t="shared" si="2"/>
        <v>248.00916667499999</v>
      </c>
      <c r="J24" s="87">
        <f>D24</f>
        <v>9.9203666669999997</v>
      </c>
      <c r="K24" s="87">
        <f t="shared" si="3"/>
        <v>119.044400004</v>
      </c>
      <c r="L24" s="2" t="s">
        <v>365</v>
      </c>
      <c r="M24" s="29" t="s">
        <v>365</v>
      </c>
      <c r="N24" s="29" t="s">
        <v>365</v>
      </c>
      <c r="O24" s="19" t="s">
        <v>365</v>
      </c>
      <c r="P24" s="43" t="s">
        <v>366</v>
      </c>
    </row>
    <row r="25" spans="1:16" x14ac:dyDescent="0.2">
      <c r="A25" s="2"/>
      <c r="B25" s="25" t="s">
        <v>371</v>
      </c>
      <c r="C25" s="4">
        <v>2</v>
      </c>
      <c r="D25" s="39">
        <f>3.3/100</f>
        <v>3.3000000000000002E-2</v>
      </c>
      <c r="E25" s="26">
        <f t="shared" si="0"/>
        <v>6.6000000000000003E-2</v>
      </c>
      <c r="F25" s="21">
        <f>D25</f>
        <v>3.3000000000000002E-2</v>
      </c>
      <c r="G25" s="20">
        <f t="shared" si="1"/>
        <v>0.66</v>
      </c>
      <c r="H25" s="21">
        <f>D25</f>
        <v>3.3000000000000002E-2</v>
      </c>
      <c r="I25" s="20">
        <f t="shared" si="2"/>
        <v>1.6500000000000001</v>
      </c>
      <c r="J25" s="87">
        <f>D25</f>
        <v>3.3000000000000002E-2</v>
      </c>
      <c r="K25" s="87">
        <f t="shared" si="3"/>
        <v>0.39600000000000002</v>
      </c>
      <c r="L25" s="2" t="s">
        <v>344</v>
      </c>
      <c r="M25" s="29" t="s">
        <v>372</v>
      </c>
      <c r="N25" s="29" t="s">
        <v>18</v>
      </c>
      <c r="O25" s="19" t="s">
        <v>373</v>
      </c>
      <c r="P25" s="43" t="s">
        <v>379</v>
      </c>
    </row>
    <row r="26" spans="1:16" x14ac:dyDescent="0.2">
      <c r="A26" s="2"/>
      <c r="B26" s="25" t="s">
        <v>374</v>
      </c>
      <c r="C26" s="4">
        <v>2</v>
      </c>
      <c r="D26" s="39">
        <f>10.22/10</f>
        <v>1.022</v>
      </c>
      <c r="E26" s="26">
        <f t="shared" si="0"/>
        <v>2.044</v>
      </c>
      <c r="F26" s="21">
        <f>D26</f>
        <v>1.022</v>
      </c>
      <c r="G26" s="20">
        <f t="shared" si="1"/>
        <v>20.440000000000001</v>
      </c>
      <c r="H26" s="21">
        <f>D26</f>
        <v>1.022</v>
      </c>
      <c r="I26" s="20">
        <f t="shared" si="2"/>
        <v>51.1</v>
      </c>
      <c r="J26" s="87">
        <f>D26</f>
        <v>1.022</v>
      </c>
      <c r="K26" s="87">
        <f t="shared" si="3"/>
        <v>12.263999999999999</v>
      </c>
      <c r="L26" s="2" t="s">
        <v>375</v>
      </c>
      <c r="M26" s="29" t="s">
        <v>377</v>
      </c>
      <c r="N26" s="29" t="s">
        <v>18</v>
      </c>
      <c r="O26" s="4" t="s">
        <v>376</v>
      </c>
      <c r="P26" s="43" t="s">
        <v>378</v>
      </c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87"/>
      <c r="K27" s="87">
        <f t="shared" si="3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87"/>
      <c r="K28" s="87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87"/>
      <c r="K29" s="87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88"/>
      <c r="K30" s="88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1055.0568833333334</v>
      </c>
      <c r="F31" s="24" t="s">
        <v>12</v>
      </c>
      <c r="G31" s="24">
        <f t="shared" ref="G31:I31" si="4">SUM(G4:G30)</f>
        <v>10018.438833333332</v>
      </c>
      <c r="H31" s="24" t="s">
        <v>12</v>
      </c>
      <c r="I31" s="24">
        <f t="shared" si="4"/>
        <v>25015.097083333338</v>
      </c>
      <c r="J31" s="24" t="s">
        <v>12</v>
      </c>
      <c r="K31" s="24">
        <f>SUM(K4:K30)</f>
        <v>12144.926600000001</v>
      </c>
      <c r="N31" s="30"/>
    </row>
    <row r="32" spans="1:16" x14ac:dyDescent="0.2">
      <c r="D32" t="s">
        <v>13</v>
      </c>
      <c r="E32" s="24">
        <f>E31</f>
        <v>1055.0568833333334</v>
      </c>
      <c r="F32" t="s">
        <v>13</v>
      </c>
      <c r="G32" s="35">
        <f>G31/10</f>
        <v>1001.8438833333332</v>
      </c>
      <c r="H32" t="s">
        <v>13</v>
      </c>
      <c r="I32" s="35">
        <f>I31/25</f>
        <v>1000.6038833333336</v>
      </c>
      <c r="J32" t="s">
        <v>13</v>
      </c>
      <c r="K32" s="35">
        <f>K31/K1</f>
        <v>1012.0772166666667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104" t="s">
        <v>60</v>
      </c>
      <c r="B1" s="104"/>
      <c r="C1" s="50" t="s">
        <v>61</v>
      </c>
      <c r="D1" s="3" t="s">
        <v>29</v>
      </c>
      <c r="E1" t="s">
        <v>77</v>
      </c>
    </row>
    <row r="2" spans="1:17" ht="17" thickBot="1" x14ac:dyDescent="0.25">
      <c r="A2" s="97" t="s">
        <v>5</v>
      </c>
      <c r="B2" s="101"/>
      <c r="C2" s="98"/>
      <c r="D2" s="98"/>
      <c r="E2" s="98"/>
      <c r="F2" s="17"/>
      <c r="G2" s="97" t="s">
        <v>152</v>
      </c>
      <c r="H2" s="99"/>
      <c r="I2" s="100" t="s">
        <v>153</v>
      </c>
      <c r="J2" s="99"/>
      <c r="K2" s="97" t="s">
        <v>154</v>
      </c>
      <c r="L2" s="99"/>
      <c r="M2" s="97" t="s">
        <v>8</v>
      </c>
      <c r="N2" s="101"/>
      <c r="O2" s="98"/>
      <c r="P2" s="99"/>
      <c r="Q2" s="95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96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11" sqref="L11"/>
    </sheetView>
  </sheetViews>
  <sheetFormatPr baseColWidth="10" defaultRowHeight="16" x14ac:dyDescent="0.2"/>
  <cols>
    <col min="1" max="1" width="7.83203125" bestFit="1" customWidth="1"/>
    <col min="2" max="2" width="41.3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bestFit="1" customWidth="1"/>
    <col min="12" max="12" width="16" bestFit="1" customWidth="1"/>
    <col min="13" max="13" width="20.83203125" bestFit="1" customWidth="1"/>
    <col min="14" max="14" width="7.664062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J1" t="s">
        <v>282</v>
      </c>
      <c r="K1">
        <v>12</v>
      </c>
      <c r="N1" s="30"/>
    </row>
    <row r="2" spans="1:16" ht="17" thickBot="1" x14ac:dyDescent="0.25">
      <c r="A2" s="97" t="s">
        <v>5</v>
      </c>
      <c r="B2" s="98"/>
      <c r="C2" s="92"/>
      <c r="D2" s="97" t="s">
        <v>4</v>
      </c>
      <c r="E2" s="99"/>
      <c r="F2" s="100" t="s">
        <v>6</v>
      </c>
      <c r="G2" s="99"/>
      <c r="H2" s="97" t="s">
        <v>7</v>
      </c>
      <c r="I2" s="99"/>
      <c r="J2" s="102" t="s">
        <v>281</v>
      </c>
      <c r="K2" s="103"/>
      <c r="L2" s="97" t="s">
        <v>8</v>
      </c>
      <c r="M2" s="101"/>
      <c r="N2" s="98"/>
      <c r="O2" s="99"/>
      <c r="P2" s="95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6"/>
    </row>
    <row r="4" spans="1:16" x14ac:dyDescent="0.2">
      <c r="A4" s="8"/>
      <c r="B4" s="25" t="s">
        <v>347</v>
      </c>
      <c r="C4" s="45">
        <v>3</v>
      </c>
      <c r="D4" s="37">
        <f>11.12/50</f>
        <v>0.22239999999999999</v>
      </c>
      <c r="E4" s="26">
        <f t="shared" ref="E4:E17" si="0">C4*D4</f>
        <v>0.66720000000000002</v>
      </c>
      <c r="F4" s="41">
        <f t="shared" ref="F4:F9" si="1">D4</f>
        <v>0.22239999999999999</v>
      </c>
      <c r="G4" s="20">
        <f t="shared" ref="G4:G17" si="2">C4*F4*10</f>
        <v>6.6720000000000006</v>
      </c>
      <c r="H4" s="41">
        <f t="shared" ref="H4:H9" si="3">D4</f>
        <v>0.22239999999999999</v>
      </c>
      <c r="I4" s="20">
        <f t="shared" ref="I4:I17" si="4">C4*H4*25</f>
        <v>16.68</v>
      </c>
      <c r="J4" s="87">
        <f>E4</f>
        <v>0.66720000000000002</v>
      </c>
      <c r="K4" s="87">
        <f t="shared" ref="K4:K17" si="5">J4*$K$1</f>
        <v>8.0063999999999993</v>
      </c>
      <c r="L4" s="2" t="s">
        <v>344</v>
      </c>
      <c r="M4" s="29" t="s">
        <v>345</v>
      </c>
      <c r="N4" s="29" t="s">
        <v>18</v>
      </c>
      <c r="O4" s="19" t="s">
        <v>346</v>
      </c>
      <c r="P4" s="43" t="s">
        <v>343</v>
      </c>
    </row>
    <row r="5" spans="1:16" x14ac:dyDescent="0.2">
      <c r="A5" s="2"/>
      <c r="B5" s="3" t="s">
        <v>348</v>
      </c>
      <c r="C5" s="4">
        <v>3</v>
      </c>
      <c r="D5" s="39">
        <f>8.86/100</f>
        <v>8.8599999999999998E-2</v>
      </c>
      <c r="E5" s="26">
        <f t="shared" si="0"/>
        <v>0.26579999999999998</v>
      </c>
      <c r="F5" s="21">
        <f t="shared" si="1"/>
        <v>8.8599999999999998E-2</v>
      </c>
      <c r="G5" s="20">
        <f t="shared" si="2"/>
        <v>2.6579999999999999</v>
      </c>
      <c r="H5" s="21">
        <f t="shared" si="3"/>
        <v>8.8599999999999998E-2</v>
      </c>
      <c r="I5" s="20">
        <f t="shared" si="4"/>
        <v>6.6449999999999996</v>
      </c>
      <c r="J5" s="87">
        <f>E5</f>
        <v>0.26579999999999998</v>
      </c>
      <c r="K5" s="87">
        <f t="shared" si="5"/>
        <v>3.1895999999999995</v>
      </c>
      <c r="L5" s="2" t="s">
        <v>344</v>
      </c>
      <c r="M5" s="29" t="s">
        <v>349</v>
      </c>
      <c r="N5" s="29" t="s">
        <v>18</v>
      </c>
      <c r="O5" s="19" t="s">
        <v>350</v>
      </c>
      <c r="P5" s="43" t="s">
        <v>330</v>
      </c>
    </row>
    <row r="6" spans="1:16" x14ac:dyDescent="0.2">
      <c r="A6" s="2"/>
      <c r="B6" s="25" t="s">
        <v>351</v>
      </c>
      <c r="C6" s="4">
        <v>3</v>
      </c>
      <c r="D6" s="39">
        <f>10.35/12</f>
        <v>0.86249999999999993</v>
      </c>
      <c r="E6" s="26">
        <f t="shared" si="0"/>
        <v>2.5874999999999999</v>
      </c>
      <c r="F6" s="21">
        <f t="shared" si="1"/>
        <v>0.86249999999999993</v>
      </c>
      <c r="G6" s="20">
        <f t="shared" si="2"/>
        <v>25.875</v>
      </c>
      <c r="H6" s="21">
        <f t="shared" si="3"/>
        <v>0.86249999999999993</v>
      </c>
      <c r="I6" s="20">
        <f t="shared" si="4"/>
        <v>64.6875</v>
      </c>
      <c r="J6" s="87">
        <f>E6</f>
        <v>2.5874999999999999</v>
      </c>
      <c r="K6" s="87">
        <f t="shared" si="5"/>
        <v>31.049999999999997</v>
      </c>
      <c r="L6" s="2" t="s">
        <v>344</v>
      </c>
      <c r="M6" s="29" t="s">
        <v>352</v>
      </c>
      <c r="N6" s="32" t="s">
        <v>18</v>
      </c>
      <c r="O6" s="19" t="s">
        <v>353</v>
      </c>
      <c r="P6" s="43" t="s">
        <v>357</v>
      </c>
    </row>
    <row r="7" spans="1:16" x14ac:dyDescent="0.2">
      <c r="A7" s="2"/>
      <c r="B7" s="25" t="s">
        <v>354</v>
      </c>
      <c r="C7" s="4">
        <v>4</v>
      </c>
      <c r="D7" s="39">
        <f>6.15/10</f>
        <v>0.61499999999999999</v>
      </c>
      <c r="E7" s="26">
        <f t="shared" si="0"/>
        <v>2.46</v>
      </c>
      <c r="F7" s="21">
        <f t="shared" si="1"/>
        <v>0.61499999999999999</v>
      </c>
      <c r="G7" s="20">
        <f t="shared" si="2"/>
        <v>24.6</v>
      </c>
      <c r="H7" s="21">
        <f t="shared" si="3"/>
        <v>0.61499999999999999</v>
      </c>
      <c r="I7" s="20">
        <f t="shared" si="4"/>
        <v>61.5</v>
      </c>
      <c r="J7" s="87">
        <f>E7</f>
        <v>2.46</v>
      </c>
      <c r="K7" s="87">
        <f t="shared" si="5"/>
        <v>29.52</v>
      </c>
      <c r="L7" s="2" t="s">
        <v>344</v>
      </c>
      <c r="M7" s="29" t="s">
        <v>355</v>
      </c>
      <c r="N7" s="32" t="s">
        <v>18</v>
      </c>
      <c r="O7" s="19" t="s">
        <v>356</v>
      </c>
      <c r="P7" s="43" t="s">
        <v>339</v>
      </c>
    </row>
    <row r="8" spans="1:16" x14ac:dyDescent="0.2">
      <c r="A8" s="2"/>
      <c r="B8" s="25" t="s">
        <v>358</v>
      </c>
      <c r="C8" s="4">
        <v>4</v>
      </c>
      <c r="D8" s="39">
        <f>6.04/50</f>
        <v>0.1208</v>
      </c>
      <c r="E8" s="26">
        <f t="shared" si="0"/>
        <v>0.48320000000000002</v>
      </c>
      <c r="F8" s="21">
        <f t="shared" si="1"/>
        <v>0.1208</v>
      </c>
      <c r="G8" s="20">
        <f t="shared" si="2"/>
        <v>4.8319999999999999</v>
      </c>
      <c r="H8" s="21">
        <f t="shared" si="3"/>
        <v>0.1208</v>
      </c>
      <c r="I8" s="20">
        <f t="shared" si="4"/>
        <v>12.08</v>
      </c>
      <c r="J8" s="87">
        <f>E8</f>
        <v>0.48320000000000002</v>
      </c>
      <c r="K8" s="87">
        <f t="shared" si="5"/>
        <v>5.7984</v>
      </c>
      <c r="L8" s="2" t="s">
        <v>344</v>
      </c>
      <c r="M8" s="29" t="s">
        <v>359</v>
      </c>
      <c r="N8" s="32" t="s">
        <v>18</v>
      </c>
      <c r="O8" s="19" t="s">
        <v>360</v>
      </c>
      <c r="P8" s="43" t="s">
        <v>343</v>
      </c>
    </row>
    <row r="9" spans="1:16" x14ac:dyDescent="0.2">
      <c r="A9" s="2"/>
      <c r="B9" s="25" t="s">
        <v>361</v>
      </c>
      <c r="C9" s="4">
        <v>1</v>
      </c>
      <c r="D9" s="39">
        <v>3.14</v>
      </c>
      <c r="E9" s="26">
        <f t="shared" si="0"/>
        <v>3.14</v>
      </c>
      <c r="F9" s="21">
        <f t="shared" si="1"/>
        <v>3.14</v>
      </c>
      <c r="G9" s="20">
        <f t="shared" si="2"/>
        <v>31.400000000000002</v>
      </c>
      <c r="H9" s="21">
        <f t="shared" si="3"/>
        <v>3.14</v>
      </c>
      <c r="I9" s="20">
        <f t="shared" si="4"/>
        <v>78.5</v>
      </c>
      <c r="J9" s="87">
        <f>D9</f>
        <v>3.14</v>
      </c>
      <c r="K9" s="87">
        <f t="shared" si="5"/>
        <v>37.68</v>
      </c>
      <c r="L9" s="2" t="s">
        <v>344</v>
      </c>
      <c r="M9" s="32" t="s">
        <v>362</v>
      </c>
      <c r="N9" s="32" t="s">
        <v>18</v>
      </c>
      <c r="O9" s="19" t="s">
        <v>363</v>
      </c>
      <c r="P9" s="43"/>
    </row>
    <row r="10" spans="1:16" x14ac:dyDescent="0.2">
      <c r="A10" s="2"/>
      <c r="B10" s="25" t="s">
        <v>367</v>
      </c>
      <c r="C10" s="4">
        <v>1</v>
      </c>
      <c r="D10" s="93">
        <v>0.31666666700000001</v>
      </c>
      <c r="E10" s="26">
        <f t="shared" si="0"/>
        <v>0.31666666700000001</v>
      </c>
      <c r="F10" s="94">
        <v>0.31666666700000001</v>
      </c>
      <c r="G10" s="20">
        <f t="shared" si="2"/>
        <v>3.1666666700000001</v>
      </c>
      <c r="H10" s="94">
        <v>0.31666666700000001</v>
      </c>
      <c r="I10" s="20">
        <f t="shared" si="4"/>
        <v>7.9166666750000001</v>
      </c>
      <c r="J10" s="87">
        <f>D10</f>
        <v>0.31666666700000001</v>
      </c>
      <c r="K10" s="87">
        <f t="shared" si="5"/>
        <v>3.8000000040000002</v>
      </c>
      <c r="L10" s="2" t="s">
        <v>344</v>
      </c>
      <c r="M10" s="32" t="s">
        <v>368</v>
      </c>
      <c r="N10" s="32" t="s">
        <v>18</v>
      </c>
      <c r="O10" s="19" t="s">
        <v>369</v>
      </c>
      <c r="P10" s="43" t="s">
        <v>370</v>
      </c>
    </row>
    <row r="11" spans="1:16" x14ac:dyDescent="0.2">
      <c r="A11" s="2"/>
      <c r="B11" s="25"/>
      <c r="C11" s="4"/>
      <c r="D11" s="93"/>
      <c r="E11" s="26">
        <f t="shared" si="0"/>
        <v>0</v>
      </c>
      <c r="F11" s="94"/>
      <c r="G11" s="20">
        <f t="shared" si="2"/>
        <v>0</v>
      </c>
      <c r="H11" s="94"/>
      <c r="I11" s="20">
        <f t="shared" si="4"/>
        <v>0</v>
      </c>
      <c r="J11" s="87"/>
      <c r="K11" s="87">
        <f t="shared" si="5"/>
        <v>0</v>
      </c>
      <c r="L11" s="2"/>
      <c r="M11" s="32"/>
      <c r="N11" s="32"/>
      <c r="O11" s="19"/>
      <c r="P11" s="43"/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87"/>
      <c r="K12" s="87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87"/>
      <c r="K13" s="87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91"/>
      <c r="K14" s="87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87"/>
      <c r="K15" s="87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87"/>
      <c r="K16" s="87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87"/>
      <c r="K17" s="87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ref="E18:E30" si="6">C18*D18</f>
        <v>0</v>
      </c>
      <c r="F18" s="21"/>
      <c r="G18" s="20">
        <f t="shared" ref="G18:G30" si="7">C18*F18*10</f>
        <v>0</v>
      </c>
      <c r="H18" s="21"/>
      <c r="I18" s="20">
        <f t="shared" ref="I18:I30" si="8">C18*H18*25</f>
        <v>0</v>
      </c>
      <c r="J18" s="87"/>
      <c r="K18" s="87">
        <f t="shared" ref="K18:K30" si="9">J18*$K$1</f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6"/>
        <v>0</v>
      </c>
      <c r="F19" s="21"/>
      <c r="G19" s="20">
        <f t="shared" si="7"/>
        <v>0</v>
      </c>
      <c r="H19" s="21"/>
      <c r="I19" s="20">
        <f t="shared" si="8"/>
        <v>0</v>
      </c>
      <c r="J19" s="87"/>
      <c r="K19" s="87">
        <f t="shared" si="9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6"/>
        <v>0</v>
      </c>
      <c r="F20" s="21"/>
      <c r="G20" s="20">
        <f t="shared" si="7"/>
        <v>0</v>
      </c>
      <c r="H20" s="21"/>
      <c r="I20" s="20">
        <f t="shared" si="8"/>
        <v>0</v>
      </c>
      <c r="J20" s="87"/>
      <c r="K20" s="87">
        <f t="shared" si="9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6"/>
        <v>0</v>
      </c>
      <c r="F21" s="21"/>
      <c r="G21" s="20">
        <f t="shared" si="7"/>
        <v>0</v>
      </c>
      <c r="H21" s="21"/>
      <c r="I21" s="20">
        <f t="shared" si="8"/>
        <v>0</v>
      </c>
      <c r="J21" s="87"/>
      <c r="K21" s="87">
        <f t="shared" si="9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6"/>
        <v>0</v>
      </c>
      <c r="F22" s="21"/>
      <c r="G22" s="20">
        <f t="shared" si="7"/>
        <v>0</v>
      </c>
      <c r="H22" s="21"/>
      <c r="I22" s="20">
        <f t="shared" si="8"/>
        <v>0</v>
      </c>
      <c r="J22" s="87"/>
      <c r="K22" s="87">
        <f t="shared" si="9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6"/>
        <v>0</v>
      </c>
      <c r="F23" s="21"/>
      <c r="G23" s="20">
        <f t="shared" si="7"/>
        <v>0</v>
      </c>
      <c r="H23" s="21"/>
      <c r="I23" s="20">
        <f t="shared" si="8"/>
        <v>0</v>
      </c>
      <c r="J23" s="87"/>
      <c r="K23" s="87">
        <f t="shared" si="9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6"/>
        <v>0</v>
      </c>
      <c r="F24" s="21"/>
      <c r="G24" s="20">
        <f t="shared" si="7"/>
        <v>0</v>
      </c>
      <c r="H24" s="21"/>
      <c r="I24" s="20">
        <f t="shared" si="8"/>
        <v>0</v>
      </c>
      <c r="J24" s="87"/>
      <c r="K24" s="87">
        <f t="shared" si="9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6"/>
        <v>0</v>
      </c>
      <c r="F25" s="21"/>
      <c r="G25" s="20">
        <f t="shared" si="7"/>
        <v>0</v>
      </c>
      <c r="H25" s="21"/>
      <c r="I25" s="20">
        <f t="shared" si="8"/>
        <v>0</v>
      </c>
      <c r="J25" s="87"/>
      <c r="K25" s="87">
        <f t="shared" si="9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6"/>
        <v>0</v>
      </c>
      <c r="F26" s="21"/>
      <c r="G26" s="20">
        <f t="shared" si="7"/>
        <v>0</v>
      </c>
      <c r="H26" s="21"/>
      <c r="I26" s="20">
        <f t="shared" si="8"/>
        <v>0</v>
      </c>
      <c r="J26" s="87"/>
      <c r="K26" s="87">
        <f t="shared" si="9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6"/>
        <v>0</v>
      </c>
      <c r="F27" s="21"/>
      <c r="G27" s="20">
        <f t="shared" si="7"/>
        <v>0</v>
      </c>
      <c r="H27" s="21"/>
      <c r="I27" s="20">
        <f t="shared" si="8"/>
        <v>0</v>
      </c>
      <c r="J27" s="87"/>
      <c r="K27" s="87">
        <f t="shared" si="9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6"/>
        <v>0</v>
      </c>
      <c r="F28" s="21"/>
      <c r="G28" s="20">
        <f t="shared" si="7"/>
        <v>0</v>
      </c>
      <c r="H28" s="21"/>
      <c r="I28" s="20">
        <f t="shared" si="8"/>
        <v>0</v>
      </c>
      <c r="J28" s="87"/>
      <c r="K28" s="87">
        <f t="shared" si="9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6"/>
        <v>0</v>
      </c>
      <c r="F29" s="21"/>
      <c r="G29" s="20">
        <f t="shared" si="7"/>
        <v>0</v>
      </c>
      <c r="H29" s="21"/>
      <c r="I29" s="20">
        <f t="shared" si="8"/>
        <v>0</v>
      </c>
      <c r="J29" s="87"/>
      <c r="K29" s="87">
        <f t="shared" si="9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6"/>
        <v>0</v>
      </c>
      <c r="F30" s="23"/>
      <c r="G30" s="22">
        <f t="shared" si="7"/>
        <v>0</v>
      </c>
      <c r="H30" s="23"/>
      <c r="I30" s="22">
        <f t="shared" si="8"/>
        <v>0</v>
      </c>
      <c r="J30" s="88"/>
      <c r="K30" s="88">
        <f t="shared" si="9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9.9203666669999997</v>
      </c>
      <c r="F31" s="24" t="s">
        <v>12</v>
      </c>
      <c r="G31" s="24">
        <f>SUM(G4:G30)</f>
        <v>99.203666670000004</v>
      </c>
      <c r="H31" s="24" t="s">
        <v>12</v>
      </c>
      <c r="I31" s="24">
        <f>SUM(I4:I30)</f>
        <v>248.00916667499999</v>
      </c>
      <c r="J31" s="24" t="s">
        <v>12</v>
      </c>
      <c r="K31" s="24">
        <f>SUM(K4:K30)</f>
        <v>119.04440000399998</v>
      </c>
      <c r="N31" s="30"/>
    </row>
    <row r="32" spans="1:16" x14ac:dyDescent="0.2">
      <c r="D32" t="s">
        <v>13</v>
      </c>
      <c r="E32" s="24">
        <f>E31</f>
        <v>9.9203666669999997</v>
      </c>
      <c r="F32" t="s">
        <v>13</v>
      </c>
      <c r="G32" s="35">
        <f>G31/10</f>
        <v>9.9203666669999997</v>
      </c>
      <c r="H32" t="s">
        <v>13</v>
      </c>
      <c r="I32" s="35">
        <f>I31/25</f>
        <v>9.9203666669999997</v>
      </c>
      <c r="J32" t="s">
        <v>13</v>
      </c>
      <c r="K32" s="35">
        <f>K31/K1</f>
        <v>9.9203666669999979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I8" sqref="I8"/>
    </sheetView>
  </sheetViews>
  <sheetFormatPr baseColWidth="10" defaultRowHeight="16" x14ac:dyDescent="0.2"/>
  <cols>
    <col min="1" max="1" width="16" bestFit="1" customWidth="1"/>
    <col min="2" max="2" width="12" style="78" bestFit="1" customWidth="1"/>
    <col min="3" max="3" width="16.1640625" bestFit="1" customWidth="1"/>
    <col min="4" max="4" width="15" bestFit="1" customWidth="1"/>
    <col min="5" max="5" width="8.33203125" bestFit="1" customWidth="1"/>
    <col min="6" max="6" width="11.5" style="85" bestFit="1" customWidth="1"/>
    <col min="7" max="7" width="52.83203125" style="82" bestFit="1" customWidth="1"/>
    <col min="8" max="8" width="10.33203125" style="82" bestFit="1" customWidth="1"/>
    <col min="9" max="9" width="118.1640625" bestFit="1" customWidth="1"/>
  </cols>
  <sheetData>
    <row r="2" spans="1:9" ht="17" thickBot="1" x14ac:dyDescent="0.25">
      <c r="A2" s="79" t="s">
        <v>253</v>
      </c>
      <c r="B2" s="84" t="s">
        <v>254</v>
      </c>
      <c r="C2" s="79" t="s">
        <v>255</v>
      </c>
      <c r="D2" s="79" t="s">
        <v>260</v>
      </c>
      <c r="E2" s="79" t="s">
        <v>256</v>
      </c>
      <c r="F2" s="86" t="s">
        <v>259</v>
      </c>
      <c r="G2" s="81" t="s">
        <v>272</v>
      </c>
      <c r="H2" s="83" t="s">
        <v>1</v>
      </c>
      <c r="I2" s="80" t="s">
        <v>27</v>
      </c>
    </row>
    <row r="3" spans="1:9" x14ac:dyDescent="0.2">
      <c r="A3" t="s">
        <v>257</v>
      </c>
      <c r="B3" s="78">
        <v>42607</v>
      </c>
      <c r="C3" t="s">
        <v>258</v>
      </c>
      <c r="D3" t="s">
        <v>261</v>
      </c>
      <c r="E3">
        <v>12</v>
      </c>
      <c r="F3" s="85">
        <v>1368.93</v>
      </c>
      <c r="G3" s="85">
        <f>F3+89.28+G7</f>
        <v>1700.71</v>
      </c>
      <c r="H3" s="82">
        <f>G3/E3</f>
        <v>141.72583333333333</v>
      </c>
      <c r="I3" t="s">
        <v>265</v>
      </c>
    </row>
    <row r="4" spans="1:9" x14ac:dyDescent="0.2">
      <c r="A4" t="s">
        <v>257</v>
      </c>
      <c r="B4" s="78">
        <v>42607</v>
      </c>
      <c r="C4" t="s">
        <v>258</v>
      </c>
      <c r="D4" t="s">
        <v>261</v>
      </c>
      <c r="E4">
        <v>20</v>
      </c>
      <c r="F4" s="85">
        <v>1902.4</v>
      </c>
      <c r="G4" s="85">
        <f>F4+148.8+G7*2</f>
        <v>2536.2000000000003</v>
      </c>
      <c r="H4" s="82">
        <f t="shared" ref="H4:H5" si="0">G4/E4</f>
        <v>126.81000000000002</v>
      </c>
      <c r="I4" t="s">
        <v>264</v>
      </c>
    </row>
    <row r="5" spans="1:9" x14ac:dyDescent="0.2">
      <c r="A5" t="s">
        <v>257</v>
      </c>
      <c r="B5" s="78">
        <v>42607</v>
      </c>
      <c r="C5" t="s">
        <v>258</v>
      </c>
      <c r="D5" t="s">
        <v>262</v>
      </c>
      <c r="E5">
        <v>12</v>
      </c>
      <c r="F5" s="85">
        <v>1720.43</v>
      </c>
      <c r="G5" s="85">
        <f>F5+89.28+F8*4</f>
        <v>2006.71</v>
      </c>
      <c r="H5" s="82">
        <f t="shared" si="0"/>
        <v>167.22583333333333</v>
      </c>
      <c r="I5" t="s">
        <v>263</v>
      </c>
    </row>
    <row r="6" spans="1:9" x14ac:dyDescent="0.2">
      <c r="A6" t="s">
        <v>257</v>
      </c>
      <c r="B6" s="78">
        <v>42611</v>
      </c>
      <c r="C6" t="s">
        <v>271</v>
      </c>
      <c r="D6" t="s">
        <v>275</v>
      </c>
      <c r="E6">
        <v>12</v>
      </c>
      <c r="F6" s="85">
        <v>2331.33</v>
      </c>
      <c r="G6" s="85">
        <f>F6+90.28</f>
        <v>2421.61</v>
      </c>
      <c r="H6" s="82">
        <f>G6/E6</f>
        <v>201.80083333333334</v>
      </c>
      <c r="I6" t="s">
        <v>276</v>
      </c>
    </row>
    <row r="7" spans="1:9" x14ac:dyDescent="0.2">
      <c r="A7" t="s">
        <v>266</v>
      </c>
      <c r="B7" s="78">
        <v>42612</v>
      </c>
      <c r="C7" t="s">
        <v>267</v>
      </c>
      <c r="D7" t="s">
        <v>268</v>
      </c>
      <c r="E7">
        <v>12</v>
      </c>
      <c r="F7" s="85">
        <v>242.5</v>
      </c>
      <c r="G7" s="85">
        <f>F7</f>
        <v>242.5</v>
      </c>
      <c r="H7" s="82">
        <f>G7/E7</f>
        <v>20.208333333333332</v>
      </c>
      <c r="I7" t="s">
        <v>277</v>
      </c>
    </row>
    <row r="8" spans="1:9" x14ac:dyDescent="0.2">
      <c r="A8" t="s">
        <v>266</v>
      </c>
      <c r="B8" s="78">
        <v>42607</v>
      </c>
      <c r="C8" t="s">
        <v>267</v>
      </c>
      <c r="D8" t="s">
        <v>268</v>
      </c>
      <c r="E8">
        <v>3</v>
      </c>
      <c r="F8" s="85">
        <v>49.25</v>
      </c>
      <c r="G8" s="85"/>
      <c r="H8" s="82">
        <f>F8/E8</f>
        <v>16.416666666666668</v>
      </c>
      <c r="I8" t="s">
        <v>269</v>
      </c>
    </row>
    <row r="9" spans="1:9" x14ac:dyDescent="0.2">
      <c r="A9" t="s">
        <v>270</v>
      </c>
      <c r="B9" s="78">
        <v>42611</v>
      </c>
      <c r="C9" t="s">
        <v>271</v>
      </c>
      <c r="D9" t="s">
        <v>273</v>
      </c>
      <c r="E9">
        <v>10</v>
      </c>
      <c r="F9" s="85">
        <v>2528.4899999999998</v>
      </c>
      <c r="G9" s="85">
        <f>F9</f>
        <v>2528.4899999999998</v>
      </c>
      <c r="H9" s="82">
        <f>G9/E9</f>
        <v>252.84899999999999</v>
      </c>
      <c r="I9" t="s">
        <v>274</v>
      </c>
    </row>
    <row r="10" spans="1:9" x14ac:dyDescent="0.2">
      <c r="A10" t="s">
        <v>270</v>
      </c>
      <c r="B10" s="78">
        <v>42611</v>
      </c>
      <c r="C10" t="s">
        <v>271</v>
      </c>
      <c r="D10" t="s">
        <v>273</v>
      </c>
      <c r="E10">
        <v>20</v>
      </c>
      <c r="F10" s="85">
        <v>3372.79</v>
      </c>
      <c r="G10" s="85">
        <f t="shared" ref="G10:G11" si="1">F10</f>
        <v>3372.79</v>
      </c>
      <c r="H10" s="82">
        <f t="shared" ref="H10:H11" si="2">G10/E10</f>
        <v>168.6395</v>
      </c>
      <c r="I10" t="s">
        <v>274</v>
      </c>
    </row>
    <row r="11" spans="1:9" x14ac:dyDescent="0.2">
      <c r="A11" t="s">
        <v>270</v>
      </c>
      <c r="B11" s="78">
        <v>42611</v>
      </c>
      <c r="C11" t="s">
        <v>271</v>
      </c>
      <c r="D11" t="s">
        <v>273</v>
      </c>
      <c r="E11">
        <v>25</v>
      </c>
      <c r="F11" s="85">
        <v>3826.44</v>
      </c>
      <c r="G11" s="85">
        <f t="shared" si="1"/>
        <v>3826.44</v>
      </c>
      <c r="H11" s="82">
        <f t="shared" si="2"/>
        <v>153.05760000000001</v>
      </c>
      <c r="I1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Device</vt:lpstr>
      <vt:lpstr>Shield Parts</vt:lpstr>
      <vt:lpstr>LiCor_Leveling_Base</vt:lpstr>
      <vt:lpstr>Current Quotes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2016-11-07T18:58:46Z</dcterms:modified>
</cp:coreProperties>
</file>