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pun/Documents/Arduino/LEMSv2/Hardware Information/"/>
    </mc:Choice>
  </mc:AlternateContent>
  <bookViews>
    <workbookView xWindow="-38400" yWindow="460" windowWidth="38400" windowHeight="21060" tabRatio="500"/>
  </bookViews>
  <sheets>
    <sheet name="Full Device" sheetId="3" r:id="rId1"/>
    <sheet name="Shield Parts" sheetId="1" r:id="rId2"/>
    <sheet name="Current Quote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3" l="1"/>
  <c r="K31" i="3"/>
  <c r="J11" i="3"/>
  <c r="J10" i="3"/>
  <c r="J9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4" i="3"/>
  <c r="J8" i="3"/>
  <c r="J7" i="3"/>
  <c r="J6" i="3"/>
  <c r="J5" i="3"/>
  <c r="J4" i="3"/>
  <c r="H9" i="3"/>
  <c r="D9" i="3"/>
  <c r="F9" i="3"/>
  <c r="H4" i="3"/>
  <c r="G7" i="4"/>
  <c r="G4" i="4"/>
  <c r="G5" i="4"/>
  <c r="G3" i="4"/>
  <c r="H7" i="4"/>
  <c r="H8" i="4"/>
  <c r="G6" i="4"/>
  <c r="H6" i="4"/>
  <c r="G10" i="4"/>
  <c r="H10" i="4"/>
  <c r="G11" i="4"/>
  <c r="H11" i="4"/>
  <c r="G9" i="4"/>
  <c r="H9" i="4"/>
  <c r="H4" i="4"/>
  <c r="H5" i="4"/>
  <c r="H3" i="4"/>
  <c r="F39" i="1"/>
  <c r="F38" i="1"/>
  <c r="L36" i="1"/>
  <c r="J36" i="1"/>
  <c r="H36" i="1"/>
  <c r="H8" i="3"/>
  <c r="H27" i="1"/>
  <c r="J27" i="1"/>
  <c r="L27" i="1"/>
  <c r="L19" i="1"/>
  <c r="J19" i="1"/>
  <c r="H19" i="1"/>
  <c r="K20" i="1"/>
  <c r="L20" i="1"/>
  <c r="J20" i="1"/>
  <c r="H20" i="1"/>
  <c r="K18" i="1"/>
  <c r="L18" i="1"/>
  <c r="J18" i="1"/>
  <c r="H18" i="1"/>
  <c r="H34" i="1"/>
  <c r="H35" i="1"/>
  <c r="H37" i="1"/>
  <c r="J34" i="1"/>
  <c r="J35" i="1"/>
  <c r="J37" i="1"/>
  <c r="H15" i="1"/>
  <c r="J15" i="1"/>
  <c r="L15" i="1"/>
  <c r="H16" i="1"/>
  <c r="J16" i="1"/>
  <c r="L16" i="1"/>
  <c r="K17" i="1"/>
  <c r="H17" i="1"/>
  <c r="J17" i="1"/>
  <c r="L17" i="1"/>
  <c r="H28" i="1"/>
  <c r="J28" i="1"/>
  <c r="L28" i="1"/>
  <c r="K31" i="1"/>
  <c r="K29" i="1"/>
  <c r="K12" i="1"/>
  <c r="L10" i="1"/>
  <c r="J10" i="1"/>
  <c r="H10" i="1"/>
  <c r="K11" i="1"/>
  <c r="L11" i="1"/>
  <c r="J11" i="1"/>
  <c r="H11" i="1"/>
  <c r="L7" i="1"/>
  <c r="J7" i="1"/>
  <c r="H7" i="1"/>
  <c r="J25" i="1"/>
  <c r="L25" i="1"/>
  <c r="L12" i="1"/>
  <c r="J12" i="1"/>
  <c r="H12" i="1"/>
  <c r="L9" i="1"/>
  <c r="J9" i="1"/>
  <c r="H9" i="1"/>
  <c r="L8" i="1"/>
  <c r="J8" i="1"/>
  <c r="H8" i="1"/>
  <c r="H25" i="1"/>
  <c r="H5" i="3"/>
  <c r="F5" i="3"/>
  <c r="H6" i="3"/>
  <c r="F6" i="3"/>
  <c r="L14" i="1"/>
  <c r="J14" i="1"/>
  <c r="H14" i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I4" i="3"/>
  <c r="I31" i="3"/>
  <c r="I32" i="3"/>
  <c r="G4" i="3"/>
  <c r="G31" i="3"/>
  <c r="G32" i="3"/>
  <c r="E4" i="3"/>
  <c r="E31" i="3"/>
  <c r="E32" i="3"/>
  <c r="L6" i="1"/>
  <c r="L13" i="1"/>
  <c r="L21" i="1"/>
  <c r="L22" i="1"/>
  <c r="L23" i="1"/>
  <c r="L24" i="1"/>
  <c r="L26" i="1"/>
  <c r="L29" i="1"/>
  <c r="L30" i="1"/>
  <c r="L31" i="1"/>
  <c r="L32" i="1"/>
  <c r="L33" i="1"/>
  <c r="L34" i="1"/>
  <c r="L35" i="1"/>
  <c r="L37" i="1"/>
  <c r="J6" i="1"/>
  <c r="J13" i="1"/>
  <c r="J21" i="1"/>
  <c r="J22" i="1"/>
  <c r="J23" i="1"/>
  <c r="J24" i="1"/>
  <c r="J26" i="1"/>
  <c r="J29" i="1"/>
  <c r="J30" i="1"/>
  <c r="J31" i="1"/>
  <c r="J32" i="1"/>
  <c r="J33" i="1"/>
  <c r="H6" i="1"/>
  <c r="H13" i="1"/>
  <c r="H21" i="1"/>
  <c r="H22" i="1"/>
  <c r="H23" i="1"/>
  <c r="H24" i="1"/>
  <c r="H26" i="1"/>
  <c r="H29" i="1"/>
  <c r="H30" i="1"/>
  <c r="H31" i="1"/>
  <c r="H32" i="1"/>
  <c r="H33" i="1"/>
  <c r="L4" i="1"/>
  <c r="L5" i="1"/>
  <c r="J4" i="1"/>
  <c r="J5" i="1"/>
  <c r="H4" i="1"/>
  <c r="H5" i="1"/>
  <c r="L38" i="1"/>
  <c r="L39" i="1"/>
  <c r="J38" i="1"/>
  <c r="J39" i="1"/>
  <c r="H38" i="1"/>
  <c r="H39" i="1"/>
</calcChain>
</file>

<file path=xl/sharedStrings.xml><?xml version="1.0" encoding="utf-8"?>
<sst xmlns="http://schemas.openxmlformats.org/spreadsheetml/2006/main" count="455" uniqueCount="294">
  <si>
    <t>Number</t>
  </si>
  <si>
    <t>Cost/Unit</t>
  </si>
  <si>
    <t>Source</t>
  </si>
  <si>
    <t>Link</t>
  </si>
  <si>
    <t>Ideal Cost/Unit</t>
  </si>
  <si>
    <t>Information</t>
  </si>
  <si>
    <t>Ideal Cost/10 Units</t>
  </si>
  <si>
    <t>Ideal Cost/25 Units</t>
  </si>
  <si>
    <t>Ordering</t>
  </si>
  <si>
    <t>Quantity/Board</t>
  </si>
  <si>
    <t>Package</t>
  </si>
  <si>
    <t>Prototype Cost</t>
  </si>
  <si>
    <t>Total Prototype Cost:</t>
  </si>
  <si>
    <t>Prototype Cost/Unit:</t>
  </si>
  <si>
    <t>DS3231 Real Time Clock</t>
  </si>
  <si>
    <t>Mouser</t>
  </si>
  <si>
    <t>SOIC-16</t>
  </si>
  <si>
    <t>12mm Battery Holder</t>
  </si>
  <si>
    <t>N/A</t>
  </si>
  <si>
    <t>CR1220 Battery</t>
  </si>
  <si>
    <t>Green LED</t>
  </si>
  <si>
    <t>Red LED</t>
  </si>
  <si>
    <t>SPDT Switch</t>
  </si>
  <si>
    <t>SD Card Holder</t>
  </si>
  <si>
    <t>Newark</t>
  </si>
  <si>
    <t>35R2925</t>
  </si>
  <si>
    <t>http://www.newark.com/te-connectivity/2041021-3/memory-card-connector-sd-9-position/dp/35R2925?CMP=AFC-QO1721829242?gross_price=</t>
  </si>
  <si>
    <t>Notes</t>
  </si>
  <si>
    <t>Part</t>
  </si>
  <si>
    <t>Shipping costs not included!</t>
  </si>
  <si>
    <t>2-Pin 3.5mm Screw Terminal</t>
  </si>
  <si>
    <t>3-Pin 3.5mm Screw Terminal</t>
  </si>
  <si>
    <t>Possible different source? Check footprint carefully if so</t>
  </si>
  <si>
    <t>Amazon</t>
  </si>
  <si>
    <t>https://www.amazon.com/NOCO-Battery-BLSOLAR2-Charger-Maintainer/dp/B00B7GC50Y/ref=sr_1_1?ie=UTF8&amp;qid=1469347489&amp;sr=8-1&amp;keywords=noco+solar+panel</t>
  </si>
  <si>
    <t xml:space="preserve">Other options available, see https://no.co/products/solar. Noco UPC: 0-46221-12069-1 </t>
  </si>
  <si>
    <t>Noco 2.5 Watt Solar Panel</t>
  </si>
  <si>
    <t>Noco 12V 2A Regulator</t>
  </si>
  <si>
    <t>https://www.amazon.com/NOCO-GC027-12V-Flex-Regulator/dp/B00H36Y65O/ref=sr_1_fkmr1_1?ie=UTF8&amp;qid=1469347729&amp;sr=8-1-fkmr1&amp;keywords=X-Connect+12+Volt+2+Amp+Regulator</t>
  </si>
  <si>
    <t>Other options available, see https://no.co/products/solar. Noco UPC: 0-46221-13106-2</t>
  </si>
  <si>
    <t>495-TSR-1-2450</t>
  </si>
  <si>
    <t>SIP-3</t>
  </si>
  <si>
    <t>http://www.mouser.com/ProductDetail/TRACO-Power/TSR-1-2450/?qs=ckJk83FOD0XFKqda0Mzkgw%3D%3D</t>
  </si>
  <si>
    <t>Digikey</t>
  </si>
  <si>
    <t>Distributor Part Number</t>
  </si>
  <si>
    <t>PS1</t>
  </si>
  <si>
    <t>U1</t>
  </si>
  <si>
    <t>U2</t>
  </si>
  <si>
    <t>BT1</t>
  </si>
  <si>
    <t>J1</t>
  </si>
  <si>
    <t>J2</t>
  </si>
  <si>
    <t>J3</t>
  </si>
  <si>
    <t>J4, J5</t>
  </si>
  <si>
    <t>J6</t>
  </si>
  <si>
    <t>Reference Designator</t>
  </si>
  <si>
    <t>Manufacturer</t>
  </si>
  <si>
    <t>Manufacturer Part Number</t>
  </si>
  <si>
    <t>Part Description</t>
  </si>
  <si>
    <t>Place</t>
  </si>
  <si>
    <t>Yes</t>
  </si>
  <si>
    <t>SMT</t>
  </si>
  <si>
    <t>3.5mm Spacing TH</t>
  </si>
  <si>
    <t>TH = Through Hole</t>
  </si>
  <si>
    <t>SMT = Surface Mount</t>
  </si>
  <si>
    <t>TSR 1-2450</t>
  </si>
  <si>
    <t>DC/DC 5V Regulator</t>
  </si>
  <si>
    <t>TE Connectivity</t>
  </si>
  <si>
    <t>2041021-3</t>
  </si>
  <si>
    <t>DS3231SN#T&amp;R</t>
  </si>
  <si>
    <t>Maxim Integrated</t>
  </si>
  <si>
    <t>Keystone Electronics</t>
  </si>
  <si>
    <t>3000</t>
  </si>
  <si>
    <t>Sullins Connector</t>
  </si>
  <si>
    <t>C1</t>
  </si>
  <si>
    <t>ECA-1HM220</t>
  </si>
  <si>
    <t>22uF 50V Capacitor</t>
  </si>
  <si>
    <t>P5179-ND</t>
  </si>
  <si>
    <t>5mm Diam. Radial TH</t>
  </si>
  <si>
    <t>http://www.digikey.com/product-detail/en/ECA-1HM220/P5179-ND/245038?curr=usd&amp;WT.z_cid=ref_octopart_dkc_buynow&amp;site=us</t>
  </si>
  <si>
    <t>Octopart has alt. distributors</t>
  </si>
  <si>
    <t>Murata Electronics</t>
  </si>
  <si>
    <t>Traco Power</t>
  </si>
  <si>
    <t>Panasonic Electronics</t>
  </si>
  <si>
    <t>GRM21BR71H105KA12L</t>
  </si>
  <si>
    <t>1uF 50V Ceramic Capacitor</t>
  </si>
  <si>
    <t>490-4736-1-ND</t>
  </si>
  <si>
    <t>0805 (Imperial)</t>
  </si>
  <si>
    <t>http://www.digikey.com/product-detail/en/GRM21BR71H105KA12L/490-4736-1-ND/1244332?curr=usd&amp;WT.z_cid=ref_octopart_dkc_buynow&amp;site=us</t>
  </si>
  <si>
    <t>Yageo</t>
  </si>
  <si>
    <t>RC0805FR-0710KL</t>
  </si>
  <si>
    <t>10k 1% 1/8W Resistor</t>
  </si>
  <si>
    <t>311-10.0KCRCT-ND</t>
  </si>
  <si>
    <t>http://www.digikey.com/product-detail/en/RC0805FR-0710KL/311-10.0KCRCT-ND/730482?curr=usd&amp;WT.z_cid=ref_octopart_dkc_buynow&amp;site=us</t>
  </si>
  <si>
    <t>Distributor Link</t>
  </si>
  <si>
    <t>36-3000-ND</t>
  </si>
  <si>
    <t>http://www.digikey.com/product-detail/en/3000/36-3000-ND/227440?curr=usd&amp;WT.z_cid=ref_octopart_dkc_buynow&amp;site=us</t>
  </si>
  <si>
    <t>DS3231SN#T&amp;RCT-ND</t>
  </si>
  <si>
    <t>http://www.digikey.com/product-detail/en/DS3231SN%2523T%26R/DS3231SN%2523T%26RCT-ND/3894827?curr=usd&amp;WT.z_cid=ref_octopart_dkc_buynow&amp;site=us</t>
  </si>
  <si>
    <t>BMP280</t>
  </si>
  <si>
    <t>0.1" TH</t>
  </si>
  <si>
    <t>Future Expansion Connector</t>
  </si>
  <si>
    <t>No</t>
  </si>
  <si>
    <t>Fairchild Semiconductor</t>
  </si>
  <si>
    <t>BSS138</t>
  </si>
  <si>
    <t>N-Channel MOSFET</t>
  </si>
  <si>
    <t>BSS138CT-ND</t>
  </si>
  <si>
    <t>SOT-23</t>
  </si>
  <si>
    <t>http://www.digikey.com/product-detail/en/BSS138/BSS138CT-ND/244294?curr=usd&amp;WT.z_cid=ref_octopart_dkc_buynow&amp;site=us</t>
  </si>
  <si>
    <t>S1</t>
  </si>
  <si>
    <t>E-Switch</t>
  </si>
  <si>
    <t>EG1218</t>
  </si>
  <si>
    <t>612-EG1218</t>
  </si>
  <si>
    <t>2.5mm TH</t>
  </si>
  <si>
    <t>http://www.mouser.com/ProductDetail/E-Switch/EG1218/?qs=sGAEpiMZZMtHXLepoqNyVZDOWY7elTCOE4MJ3sXRkSs%3d</t>
  </si>
  <si>
    <t>CC0805KRX7R9BB104</t>
  </si>
  <si>
    <t>0.1uF 50V Ceramic Capacitor</t>
  </si>
  <si>
    <t>311-1140-1-ND</t>
  </si>
  <si>
    <t>http://www.digikey.com/product-detail/en/CC0805KRX7R9BB104/311-1140-1-ND/303050?curr=usd&amp;WT.z_cid=ref_octopart_dkc_buynow&amp;site=us</t>
  </si>
  <si>
    <t>U3</t>
  </si>
  <si>
    <t>Texas Instruments</t>
  </si>
  <si>
    <t>TLV2372IDR</t>
  </si>
  <si>
    <t>2-Channel Rail-To-Rail Op-Amp</t>
  </si>
  <si>
    <t>595-TLV2372IDR</t>
  </si>
  <si>
    <t>SOIC-8</t>
  </si>
  <si>
    <t>http://www.mouser.com/ProductDetail/Texas-Instruments/TLV2372IDR/?qs=sGAEpiMZZMtCHixnSjNA6P3Ssczg4flJu9W%2ftdqxyhc%3d</t>
  </si>
  <si>
    <t>J13</t>
  </si>
  <si>
    <t>1x3 TH Female Header</t>
  </si>
  <si>
    <t>R14</t>
  </si>
  <si>
    <t>Gain Resistor</t>
  </si>
  <si>
    <t>Not added yet</t>
  </si>
  <si>
    <t>U4</t>
  </si>
  <si>
    <t>Bosch Sensortec</t>
  </si>
  <si>
    <t>Digital Barometer</t>
  </si>
  <si>
    <t>262-BMP280</t>
  </si>
  <si>
    <t>LGA-8</t>
  </si>
  <si>
    <t>http://www.mouser.com/ProductDetail/Bosch-Sensortec/BMP280/?qs=QhAb4EtQfbUP9Z%252bCHM3Wyg%3D%3D</t>
  </si>
  <si>
    <t>C3, C5, C6</t>
  </si>
  <si>
    <t>MMBT3904</t>
  </si>
  <si>
    <t>NPN Transistor</t>
  </si>
  <si>
    <t>MMBT3904FSCT-ND</t>
  </si>
  <si>
    <t>http://www.digikey.com/product-detail/en/MMBT3904/MMBT3904FSCT-ND/458971?curr=usd&amp;WT.z_cid=ref_octopart_dkc_buynow&amp;site=us</t>
  </si>
  <si>
    <t>R15, R16</t>
  </si>
  <si>
    <t>RC0805FR-07130RL</t>
  </si>
  <si>
    <t>130 Ohm 1% 1/8W Resistor</t>
  </si>
  <si>
    <t>311-130CRCT-ND</t>
  </si>
  <si>
    <t>http://www.digikey.com/product-detail/en/RC0805FR-07130RL/311-130CRCT-ND/730536?curr=usd&amp;WT.z_cid=ref_octopart_dkc_buynow&amp;site=us</t>
  </si>
  <si>
    <t>Lite-On Inc.</t>
  </si>
  <si>
    <t>LTST-C190GKT</t>
  </si>
  <si>
    <t>160-1183-1-ND</t>
  </si>
  <si>
    <t>0603 (Imperial)</t>
  </si>
  <si>
    <t>http://www.digikey.com/product-detail/en/LTST-C190GKT/160-1183-1-ND/269255?curr=usd&amp;WT.z_cid=ref_octopart_dkc_buynow&amp;site=us</t>
  </si>
  <si>
    <t>LTST-C190KRKT</t>
  </si>
  <si>
    <t>160-1436-1-ND</t>
  </si>
  <si>
    <t>http://www.digikey.com/product-detail/en/LTST-C190KRKT/160-1436-1-ND/386816?curr=usd&amp;WT.z_cid=ref_octopart_dkc_buynow&amp;site=us</t>
  </si>
  <si>
    <t>Price/Unit</t>
  </si>
  <si>
    <t>Price/10 Units</t>
  </si>
  <si>
    <t>Price/25 Units</t>
  </si>
  <si>
    <t>Cost/Part</t>
  </si>
  <si>
    <t>Total Quantity Cost</t>
  </si>
  <si>
    <t>TDK Corp.</t>
  </si>
  <si>
    <t>MMZ2012Y152BT000</t>
  </si>
  <si>
    <t>1.5kOhm Imp. 400 mOhm Ferrite Bead</t>
  </si>
  <si>
    <t>http://www.digikey.com/product-detail/en/MMZ2012Y152BT000/445-1560-1-ND/571890?curr=usd&amp;WT.z_cid=ref_octopart_dkc_buynow&amp;site=us</t>
  </si>
  <si>
    <t>445-1560-1-ND</t>
  </si>
  <si>
    <t>U5</t>
  </si>
  <si>
    <t>ADS1115IDGSR</t>
  </si>
  <si>
    <t>16-bit 4-Channel ADC</t>
  </si>
  <si>
    <t>296-38849-1-ND</t>
  </si>
  <si>
    <t>10-MSOP</t>
  </si>
  <si>
    <t>http://www.digikey.com/product-detail/en/ADS1115IDGSR/296-38849-1-ND/5142969?curr=usd&amp;WT.z_cid=ref_octopart_dkc_buynow&amp;site=us</t>
  </si>
  <si>
    <t>Total Cost</t>
  </si>
  <si>
    <t>C2, C4, C7</t>
  </si>
  <si>
    <t>FB1</t>
  </si>
  <si>
    <t>C8</t>
  </si>
  <si>
    <t>AVX Corp.</t>
  </si>
  <si>
    <t>08055A102JAT2A</t>
  </si>
  <si>
    <t>1000pF 50V Ceramic Capacitor</t>
  </si>
  <si>
    <t>478-1328-1-ND</t>
  </si>
  <si>
    <t>http://www.digikey.com/product-detail/en/08055A102JAT2A/478-1328-1-ND/564360?curr=usd&amp;WT.z_cid=ref_octopart_dkc_buynow&amp;site=us</t>
  </si>
  <si>
    <t>J14</t>
  </si>
  <si>
    <t>1x1 TH Female Header</t>
  </si>
  <si>
    <t>On Shore Technology Inc.</t>
  </si>
  <si>
    <t>OSTTE020104</t>
  </si>
  <si>
    <t>ED2740-ND</t>
  </si>
  <si>
    <t>OSTTE040104</t>
  </si>
  <si>
    <t>ED2742-ND</t>
  </si>
  <si>
    <t>http://www.digikey.com/product-detail/en/on-shore-technology-inc/OSTTE020104/ED2740-ND/2351816</t>
  </si>
  <si>
    <t>http://www.digikey.com/product-detail/en/on-shore-technology-inc/OSTTE040104/ED2742-ND/2351818</t>
  </si>
  <si>
    <t>J27-J30</t>
  </si>
  <si>
    <t>SAMD21 Dev Board</t>
  </si>
  <si>
    <t>Quantity/Prototype</t>
  </si>
  <si>
    <t>Sparkfun</t>
  </si>
  <si>
    <t>DEV-13672</t>
  </si>
  <si>
    <t>https://www.sparkfun.com/products/13672</t>
  </si>
  <si>
    <t>Arduino Stacking Headers</t>
  </si>
  <si>
    <t>1528-1074-ND</t>
  </si>
  <si>
    <t>http://www.digikey.com/product-search/en?mpart=85&amp;vendor=1528</t>
  </si>
  <si>
    <t>Alt. Source: https://www.adafruit.com/product/85</t>
  </si>
  <si>
    <t>PPPC032LFBN-RC</t>
  </si>
  <si>
    <t>2x3 TH Female Header</t>
  </si>
  <si>
    <t>S7106-ND</t>
  </si>
  <si>
    <t>http://www.digikey.com/product-detail/en/sullins-connector-solutions/PPPC032LFBN-RC/S7106-ND/810243</t>
  </si>
  <si>
    <t>TH is used instead of SMT because the SMT parts are considered through hole by assembly house if not covered in tape</t>
  </si>
  <si>
    <t>PPPC051LFBN-RC</t>
  </si>
  <si>
    <t>1x5 TH Female Header</t>
  </si>
  <si>
    <t>S7038-ND</t>
  </si>
  <si>
    <t>http://www.digikey.com/product-detail/en/sullins-connector-solutions/PPPC051LFBN-RC/S7038-ND/810177</t>
  </si>
  <si>
    <t>PPPC061LFBN-RC</t>
  </si>
  <si>
    <t>1x6 TH Female Header</t>
  </si>
  <si>
    <t>S7039-ND</t>
  </si>
  <si>
    <t>http://www.digikey.com/product-detail/en/sullins-connector-solutions/PPPC061LFBN-RC/S7039-ND/810178</t>
  </si>
  <si>
    <t>PPPC081LFBN-RC</t>
  </si>
  <si>
    <t>1x8 TH Female Header</t>
  </si>
  <si>
    <t>S7041-ND</t>
  </si>
  <si>
    <t>http://www.digikey.com/product-detail/en/sullins-connector-solutions/PPPC081LFBN-RC/S7041-ND/810180</t>
  </si>
  <si>
    <t>PPPC101LFBN-RC</t>
  </si>
  <si>
    <t>1x10 TH Female Header</t>
  </si>
  <si>
    <t>S7043-ND</t>
  </si>
  <si>
    <t>http://www.digikey.com/product-detail/en/sullins-connector-solutions/PPPC101LFBN-RC/S7043-ND/810182</t>
  </si>
  <si>
    <t>LED1</t>
  </si>
  <si>
    <t>LED2</t>
  </si>
  <si>
    <t>J7, J15-J26</t>
  </si>
  <si>
    <t>R1-R5, R7, R9, R11, R13, R19-R21</t>
  </si>
  <si>
    <t>Comchip Technology</t>
  </si>
  <si>
    <t>CDBA240L-HF</t>
  </si>
  <si>
    <t>Schottky Diode</t>
  </si>
  <si>
    <t>641-1697-1-ND</t>
  </si>
  <si>
    <t>DO-214AC</t>
  </si>
  <si>
    <t xml:space="preserve">http://www.digikey.com/product-detail/en/comchip-technology/CDBA240L-HF/641-1697-1-ND/5226080 </t>
  </si>
  <si>
    <t>Q1, Q2, Q5, Q7, Q10</t>
  </si>
  <si>
    <t>4.3k 1% 1/8W Resistor</t>
  </si>
  <si>
    <t>RC0805FR-074K3L</t>
  </si>
  <si>
    <t>311-4.30KCRCT-ND</t>
  </si>
  <si>
    <t>http://www.digikey.com/product-detail/en/RC0805FR-074K3L/311-4.30KCRCT-ND/730862?curr=usd&amp;WT.z_cid=ref_octopart_dkc_buynow&amp;site=us</t>
  </si>
  <si>
    <t>DS1, DS2</t>
  </si>
  <si>
    <t>R6, R8, R10, R17, R18</t>
  </si>
  <si>
    <t>Q3, Q4, Q6, Q8, Q9</t>
  </si>
  <si>
    <t>R23, R24</t>
  </si>
  <si>
    <t>RC0805FR-0775KL</t>
  </si>
  <si>
    <t>75k 1% 1/8W Resistor</t>
  </si>
  <si>
    <t>311-75.0KCRCT-ND</t>
  </si>
  <si>
    <t>http://www.digikey.com/product-detail/en/RC0805FR-0775KL/311-75.0KCRCT-ND/731080?curr=usd&amp;WT.z_cid=ref_octopart_dkc_buynow&amp;site=us</t>
  </si>
  <si>
    <t>R12</t>
  </si>
  <si>
    <t>R22</t>
  </si>
  <si>
    <t>Vishay Dale</t>
  </si>
  <si>
    <t>CRCW080556K0FKEA</t>
  </si>
  <si>
    <t>56k 1% 1/8W Resistor</t>
  </si>
  <si>
    <t>541-56.0KCCT-ND</t>
  </si>
  <si>
    <t>http://www.digikey.com/product-detail/en/CRCW080556K0FKEA/541-56.0KCCT-ND/1180982?curr=usd&amp;WT.z_cid=ref_octopart_dkc_buynow&amp;site=us</t>
  </si>
  <si>
    <t>RC0805FR-0716KL</t>
  </si>
  <si>
    <t>311-16.0KCRCT-ND</t>
  </si>
  <si>
    <t>16k 1% 1/8W Resistor</t>
  </si>
  <si>
    <t>http://www.digikey.com/product-detail/en/RC0805FR-0716KL/311-16.0KCRCT-ND/730567?curr=usd&amp;WT.z_cid=ref_octopart_dkc_buynow&amp;site=us</t>
  </si>
  <si>
    <t>Total Placements:</t>
  </si>
  <si>
    <t>Through Hole Placements:</t>
  </si>
  <si>
    <t>Company</t>
  </si>
  <si>
    <t>Last Updated</t>
  </si>
  <si>
    <t>Service</t>
  </si>
  <si>
    <t>Quantity</t>
  </si>
  <si>
    <t>Screaming Circuits</t>
  </si>
  <si>
    <t>Assembly</t>
  </si>
  <si>
    <t>Cost Quoted</t>
  </si>
  <si>
    <t>Total Turn Time</t>
  </si>
  <si>
    <t>20 Day</t>
  </si>
  <si>
    <t>10 Day Full Proto</t>
  </si>
  <si>
    <t>Add approximately $89.28 for power supply, SD Card holder; 10% Discount for being a student. Requires boards from OshPark!</t>
  </si>
  <si>
    <t>Add approximately $148.8 for power supply, SD Card holder; 10% Discount for being a student. Requires panelization and boards from OshPark!</t>
  </si>
  <si>
    <t>Add approximately $89.28 for power supply, SD Card holder; 10% Discount for being a student. Requires panelization and boards from OshPark!</t>
  </si>
  <si>
    <t>Osh Park</t>
  </si>
  <si>
    <t>Printing</t>
  </si>
  <si>
    <t>12 Calendar Days</t>
  </si>
  <si>
    <t>Not Panelized! Cost will change with panelization</t>
  </si>
  <si>
    <t>4PCB</t>
  </si>
  <si>
    <t>Assembly+Printing</t>
  </si>
  <si>
    <t>Cost Quoted+Extra Parts/Quantities (See formula for details)</t>
  </si>
  <si>
    <t>10 Day</t>
  </si>
  <si>
    <t>Includes everything</t>
  </si>
  <si>
    <t>26 Day</t>
  </si>
  <si>
    <t>Add approximately $89.28 for power supply, SD Card holder; 10% Discount for being a student</t>
  </si>
  <si>
    <t>Quote is for 3 panels containing 4 pcbs each</t>
  </si>
  <si>
    <t>P033-ND</t>
  </si>
  <si>
    <t>http://www.digikey.com/product-detail/en/panasonic-bsg/CR1220/P033-ND/269740</t>
  </si>
  <si>
    <t>Printed Circuit Board (PCB)</t>
  </si>
  <si>
    <t>Actual (Paid) Cost</t>
  </si>
  <si>
    <t>Quantity:</t>
  </si>
  <si>
    <t>Shipping costs and taxes not included!</t>
  </si>
  <si>
    <t>3.38"x2.90" standard. 7.46"x6.51" panelized. 4x/panel. Osh Park prices $5/in^2 for 3. Actual cost has super swift service added. Medium run not considered</t>
  </si>
  <si>
    <t>PCB Assembly</t>
  </si>
  <si>
    <t>http://www.oshpark.com</t>
  </si>
  <si>
    <t>http://www.screamingcircuits.com</t>
  </si>
  <si>
    <t>Ideal costs are hard to calculate without quote. Student discount included</t>
  </si>
  <si>
    <t>PCB Turnkey Parts</t>
  </si>
  <si>
    <t>Ideal costs are hard to calculate without quote. See Shield Parts sheet for part breakdown without "Turnkey Tax"</t>
  </si>
  <si>
    <t>12V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</si>
</sst>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[$$-409]* #,##0.00_ ;_-[$$-409]* \-#,##0.00\ ;_-[$$-409]* &quot;-&quot;??_ ;_-@_ "/>
    <numFmt numFmtId="166" formatCode="_([$$-409]* #,##0.0000_);_([$$-409]* \(#,##0.0000\);_([$$-409]* &quot;-&quot;??_);_(@_)"/>
    <numFmt numFmtId="167" formatCode="_(&quot;$&quot;* #,##0.0000_);_(&quot;$&quot;* \(#,##0.00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8" xfId="0" applyNumberFormat="1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3" xfId="0" applyFill="1" applyBorder="1"/>
    <xf numFmtId="0" fontId="2" fillId="0" borderId="5" xfId="17" applyBorder="1"/>
    <xf numFmtId="44" fontId="0" fillId="0" borderId="5" xfId="0" applyNumberFormat="1" applyBorder="1"/>
    <xf numFmtId="44" fontId="0" fillId="0" borderId="4" xfId="0" applyNumberFormat="1" applyBorder="1"/>
    <xf numFmtId="44" fontId="0" fillId="0" borderId="8" xfId="0" applyNumberFormat="1" applyBorder="1"/>
    <xf numFmtId="44" fontId="0" fillId="0" borderId="7" xfId="0" applyNumberFormat="1" applyBorder="1"/>
    <xf numFmtId="164" fontId="0" fillId="0" borderId="0" xfId="0" applyNumberFormat="1"/>
    <xf numFmtId="0" fontId="0" fillId="0" borderId="0" xfId="0" applyFill="1" applyBorder="1"/>
    <xf numFmtId="164" fontId="0" fillId="0" borderId="5" xfId="0" applyNumberFormat="1" applyBorder="1"/>
    <xf numFmtId="0" fontId="2" fillId="0" borderId="5" xfId="17" applyBorder="1" applyAlignment="1">
      <alignment horizontal="left"/>
    </xf>
    <xf numFmtId="0" fontId="0" fillId="0" borderId="25" xfId="0" applyBorder="1"/>
    <xf numFmtId="49" fontId="0" fillId="0" borderId="0" xfId="0" applyNumberFormat="1" applyBorder="1"/>
    <xf numFmtId="49" fontId="0" fillId="0" borderId="0" xfId="0" applyNumberFormat="1"/>
    <xf numFmtId="49" fontId="0" fillId="0" borderId="2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0" fontId="0" fillId="0" borderId="0" xfId="0" applyFill="1" applyBorder="1" applyAlignment="1">
      <alignment wrapText="1"/>
    </xf>
    <xf numFmtId="165" fontId="0" fillId="0" borderId="0" xfId="0" applyNumberFormat="1"/>
    <xf numFmtId="0" fontId="0" fillId="0" borderId="26" xfId="0" applyBorder="1"/>
    <xf numFmtId="164" fontId="0" fillId="0" borderId="9" xfId="0" applyNumberFormat="1" applyBorder="1"/>
    <xf numFmtId="164" fontId="0" fillId="0" borderId="27" xfId="0" applyNumberFormat="1" applyBorder="1"/>
    <xf numFmtId="164" fontId="0" fillId="0" borderId="4" xfId="0" applyNumberFormat="1" applyBorder="1"/>
    <xf numFmtId="164" fontId="0" fillId="0" borderId="7" xfId="0" applyNumberFormat="1" applyBorder="1"/>
    <xf numFmtId="44" fontId="0" fillId="0" borderId="9" xfId="0" applyNumberFormat="1" applyBorder="1"/>
    <xf numFmtId="44" fontId="0" fillId="0" borderId="27" xfId="0" applyNumberFormat="1" applyBorder="1"/>
    <xf numFmtId="0" fontId="0" fillId="0" borderId="29" xfId="0" applyBorder="1"/>
    <xf numFmtId="0" fontId="0" fillId="0" borderId="30" xfId="0" applyBorder="1"/>
    <xf numFmtId="0" fontId="0" fillId="0" borderId="27" xfId="0" applyBorder="1"/>
    <xf numFmtId="0" fontId="0" fillId="0" borderId="1" xfId="0" applyBorder="1" applyAlignment="1">
      <alignment horizontal="center"/>
    </xf>
    <xf numFmtId="0" fontId="0" fillId="0" borderId="31" xfId="0" applyBorder="1"/>
    <xf numFmtId="49" fontId="0" fillId="0" borderId="10" xfId="0" applyNumberFormat="1" applyBorder="1"/>
    <xf numFmtId="0" fontId="2" fillId="0" borderId="27" xfId="17" applyBorder="1"/>
    <xf numFmtId="0" fontId="0" fillId="0" borderId="2" xfId="0" applyBorder="1" applyAlignment="1">
      <alignment horizontal="center"/>
    </xf>
    <xf numFmtId="0" fontId="0" fillId="0" borderId="20" xfId="0" applyNumberFormat="1" applyBorder="1"/>
    <xf numFmtId="0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2" borderId="4" xfId="0" applyFill="1" applyBorder="1"/>
    <xf numFmtId="0" fontId="0" fillId="2" borderId="0" xfId="0" applyFill="1" applyBorder="1"/>
    <xf numFmtId="49" fontId="0" fillId="2" borderId="0" xfId="0" applyNumberFormat="1" applyFill="1" applyBorder="1"/>
    <xf numFmtId="0" fontId="0" fillId="2" borderId="5" xfId="0" applyFill="1" applyBorder="1"/>
    <xf numFmtId="164" fontId="0" fillId="2" borderId="5" xfId="0" applyNumberFormat="1" applyFill="1" applyBorder="1"/>
    <xf numFmtId="44" fontId="0" fillId="2" borderId="5" xfId="0" applyNumberFormat="1" applyFill="1" applyBorder="1"/>
    <xf numFmtId="0" fontId="2" fillId="2" borderId="5" xfId="17" applyFill="1" applyBorder="1"/>
    <xf numFmtId="0" fontId="0" fillId="0" borderId="4" xfId="0" applyFill="1" applyBorder="1"/>
    <xf numFmtId="0" fontId="0" fillId="0" borderId="5" xfId="0" applyFill="1" applyBorder="1"/>
    <xf numFmtId="164" fontId="0" fillId="0" borderId="5" xfId="0" applyNumberFormat="1" applyFill="1" applyBorder="1"/>
    <xf numFmtId="44" fontId="0" fillId="0" borderId="5" xfId="0" applyNumberFormat="1" applyFill="1" applyBorder="1"/>
    <xf numFmtId="0" fontId="0" fillId="0" borderId="0" xfId="0" applyFill="1"/>
    <xf numFmtId="166" fontId="0" fillId="0" borderId="9" xfId="0" applyNumberFormat="1" applyBorder="1"/>
    <xf numFmtId="166" fontId="0" fillId="0" borderId="4" xfId="0" applyNumberFormat="1" applyBorder="1"/>
    <xf numFmtId="166" fontId="0" fillId="2" borderId="4" xfId="0" applyNumberFormat="1" applyFill="1" applyBorder="1"/>
    <xf numFmtId="166" fontId="0" fillId="0" borderId="4" xfId="0" applyNumberFormat="1" applyFill="1" applyBorder="1"/>
    <xf numFmtId="166" fontId="0" fillId="0" borderId="7" xfId="0" applyNumberFormat="1" applyBorder="1"/>
    <xf numFmtId="167" fontId="0" fillId="0" borderId="9" xfId="0" applyNumberFormat="1" applyBorder="1"/>
    <xf numFmtId="167" fontId="0" fillId="0" borderId="4" xfId="0" applyNumberFormat="1" applyBorder="1"/>
    <xf numFmtId="167" fontId="0" fillId="2" borderId="4" xfId="0" applyNumberFormat="1" applyFill="1" applyBorder="1"/>
    <xf numFmtId="167" fontId="0" fillId="0" borderId="4" xfId="0" applyNumberFormat="1" applyFill="1" applyBorder="1"/>
    <xf numFmtId="167" fontId="0" fillId="0" borderId="7" xfId="0" applyNumberFormat="1" applyBorder="1"/>
    <xf numFmtId="0" fontId="2" fillId="0" borderId="5" xfId="17" applyFill="1" applyBorder="1"/>
    <xf numFmtId="0" fontId="2" fillId="0" borderId="8" xfId="17" applyBorder="1"/>
    <xf numFmtId="14" fontId="0" fillId="0" borderId="0" xfId="0" applyNumberFormat="1"/>
    <xf numFmtId="0" fontId="4" fillId="0" borderId="6" xfId="0" applyFont="1" applyBorder="1"/>
    <xf numFmtId="0" fontId="4" fillId="0" borderId="6" xfId="0" applyFont="1" applyFill="1" applyBorder="1"/>
    <xf numFmtId="44" fontId="4" fillId="0" borderId="6" xfId="20" applyFont="1" applyBorder="1"/>
    <xf numFmtId="44" fontId="0" fillId="0" borderId="0" xfId="20" applyFont="1"/>
    <xf numFmtId="44" fontId="4" fillId="0" borderId="6" xfId="20" applyFont="1" applyFill="1" applyBorder="1"/>
    <xf numFmtId="14" fontId="4" fillId="0" borderId="6" xfId="0" applyNumberFormat="1" applyFont="1" applyBorder="1"/>
    <xf numFmtId="44" fontId="0" fillId="0" borderId="0" xfId="20" applyNumberFormat="1" applyFont="1"/>
    <xf numFmtId="44" fontId="4" fillId="0" borderId="6" xfId="20" applyNumberFormat="1" applyFont="1" applyBorder="1"/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0" xfId="0" applyNumberFormat="1" applyBorder="1"/>
    <xf numFmtId="44" fontId="0" fillId="0" borderId="6" xfId="0" applyNumberFormat="1" applyBorder="1"/>
    <xf numFmtId="0" fontId="0" fillId="0" borderId="32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2" borderId="4" xfId="0" applyNumberFormat="1" applyFill="1" applyBorder="1"/>
    <xf numFmtId="44" fontId="0" fillId="2" borderId="4" xfId="0" applyNumberFormat="1" applyFill="1" applyBorder="1"/>
  </cellXfs>
  <cellStyles count="21">
    <cellStyle name="Currency" xfId="2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oshpark.com/" TargetMode="External"/><Relationship Id="rId2" Type="http://schemas.openxmlformats.org/officeDocument/2006/relationships/hyperlink" Target="http://www.screamingcircuits.com/" TargetMode="External"/><Relationship Id="rId3" Type="http://schemas.openxmlformats.org/officeDocument/2006/relationships/hyperlink" Target="http://www.screamingcircuit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product-detail/en/RC0805FR-0775KL/311-75.0KCRCT-ND/731080?curr=usd&amp;WT.z_cid=ref_octopart_dkc_buynow&amp;site=us" TargetMode="External"/><Relationship Id="rId4" Type="http://schemas.openxmlformats.org/officeDocument/2006/relationships/hyperlink" Target="http://www.digikey.com/product-detail/en/RC0805FR-0716KL/311-16.0KCRCT-ND/730567?curr=usd&amp;WT.z_cid=ref_octopart_dkc_buynow&amp;site=us" TargetMode="External"/><Relationship Id="rId1" Type="http://schemas.openxmlformats.org/officeDocument/2006/relationships/hyperlink" Target="http://www.mouser.com/ProductDetail/Bosch-Sensortec/BMP280/?qs=QhAb4EtQfbUP9Z%252bCHM3Wyg%3D%3D" TargetMode="External"/><Relationship Id="rId2" Type="http://schemas.openxmlformats.org/officeDocument/2006/relationships/hyperlink" Target="http://www.digikey.com/product-detail/en/comchip-technology/CDBA240L-HF/641-1697-1-ND/52260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C13" sqref="C13"/>
    </sheetView>
  </sheetViews>
  <sheetFormatPr baseColWidth="10" defaultRowHeight="16" x14ac:dyDescent="0.2"/>
  <cols>
    <col min="1" max="1" width="19.83203125" bestFit="1" customWidth="1"/>
    <col min="2" max="2" width="24.33203125" bestFit="1" customWidth="1"/>
    <col min="3" max="3" width="17.1640625" bestFit="1" customWidth="1"/>
    <col min="4" max="4" width="19.5" bestFit="1" customWidth="1"/>
    <col min="5" max="5" width="16.83203125" bestFit="1" customWidth="1"/>
    <col min="6" max="6" width="19.5" bestFit="1" customWidth="1"/>
    <col min="7" max="7" width="13.1640625" bestFit="1" customWidth="1"/>
    <col min="8" max="8" width="19.5" bestFit="1" customWidth="1"/>
    <col min="9" max="9" width="13.1640625" bestFit="1" customWidth="1"/>
    <col min="10" max="10" width="19.5" bestFit="1" customWidth="1"/>
    <col min="11" max="11" width="13.1640625" customWidth="1"/>
    <col min="12" max="12" width="16" bestFit="1" customWidth="1"/>
    <col min="13" max="13" width="18.1640625" bestFit="1" customWidth="1"/>
    <col min="14" max="14" width="13.5" bestFit="1" customWidth="1"/>
    <col min="15" max="15" width="156.5" bestFit="1" customWidth="1"/>
    <col min="16" max="16" width="127.6640625" bestFit="1" customWidth="1"/>
  </cols>
  <sheetData>
    <row r="1" spans="1:16" ht="17" thickBot="1" x14ac:dyDescent="0.25">
      <c r="A1" s="46"/>
      <c r="B1" s="1"/>
      <c r="D1" s="3" t="s">
        <v>285</v>
      </c>
      <c r="J1" t="s">
        <v>284</v>
      </c>
      <c r="K1">
        <v>12</v>
      </c>
      <c r="N1" s="30"/>
    </row>
    <row r="2" spans="1:16" ht="17" thickBot="1" x14ac:dyDescent="0.25">
      <c r="A2" s="89" t="s">
        <v>5</v>
      </c>
      <c r="B2" s="90"/>
      <c r="C2" s="17"/>
      <c r="D2" s="89" t="s">
        <v>4</v>
      </c>
      <c r="E2" s="91"/>
      <c r="F2" s="92" t="s">
        <v>6</v>
      </c>
      <c r="G2" s="91"/>
      <c r="H2" s="89" t="s">
        <v>7</v>
      </c>
      <c r="I2" s="91"/>
      <c r="J2" s="97" t="s">
        <v>283</v>
      </c>
      <c r="K2" s="98"/>
      <c r="L2" s="89" t="s">
        <v>8</v>
      </c>
      <c r="M2" s="93"/>
      <c r="N2" s="90"/>
      <c r="O2" s="91"/>
      <c r="P2" s="87" t="s">
        <v>27</v>
      </c>
    </row>
    <row r="3" spans="1:16" ht="18" thickTop="1" thickBot="1" x14ac:dyDescent="0.25">
      <c r="A3" s="10" t="s">
        <v>0</v>
      </c>
      <c r="B3" s="47" t="s">
        <v>28</v>
      </c>
      <c r="C3" s="18" t="s">
        <v>190</v>
      </c>
      <c r="D3" s="10" t="s">
        <v>1</v>
      </c>
      <c r="E3" s="28" t="s">
        <v>158</v>
      </c>
      <c r="F3" s="36" t="s">
        <v>1</v>
      </c>
      <c r="G3" s="13" t="s">
        <v>11</v>
      </c>
      <c r="H3" s="12" t="s">
        <v>1</v>
      </c>
      <c r="I3" s="13" t="s">
        <v>11</v>
      </c>
      <c r="J3" s="6" t="s">
        <v>1</v>
      </c>
      <c r="K3" s="6" t="s">
        <v>11</v>
      </c>
      <c r="L3" s="12" t="s">
        <v>2</v>
      </c>
      <c r="M3" s="14" t="s">
        <v>44</v>
      </c>
      <c r="N3" s="31" t="s">
        <v>10</v>
      </c>
      <c r="O3" s="13" t="s">
        <v>3</v>
      </c>
      <c r="P3" s="88"/>
    </row>
    <row r="4" spans="1:16" x14ac:dyDescent="0.2">
      <c r="A4" s="8"/>
      <c r="B4" s="25" t="s">
        <v>19</v>
      </c>
      <c r="C4" s="45">
        <v>1</v>
      </c>
      <c r="D4" s="37">
        <v>0.9</v>
      </c>
      <c r="E4" s="38">
        <f t="shared" ref="E4:E30" si="0">C4*D4</f>
        <v>0.9</v>
      </c>
      <c r="F4" s="41">
        <v>0.81200000000000006</v>
      </c>
      <c r="G4" s="42">
        <f t="shared" ref="G4:G30" si="1">C4*F4*10</f>
        <v>8.120000000000001</v>
      </c>
      <c r="H4" s="41">
        <f>F4</f>
        <v>0.81200000000000006</v>
      </c>
      <c r="I4" s="42">
        <f t="shared" ref="I4:I30" si="2">C4*H4*25</f>
        <v>20.3</v>
      </c>
      <c r="J4" s="95">
        <f>F4</f>
        <v>0.81200000000000006</v>
      </c>
      <c r="K4" s="95">
        <f>J4*$K$1</f>
        <v>9.7439999999999998</v>
      </c>
      <c r="L4" s="2" t="s">
        <v>43</v>
      </c>
      <c r="M4" s="3" t="s">
        <v>280</v>
      </c>
      <c r="N4" s="29" t="s">
        <v>18</v>
      </c>
      <c r="O4" s="19" t="s">
        <v>281</v>
      </c>
      <c r="P4" s="43" t="s">
        <v>32</v>
      </c>
    </row>
    <row r="5" spans="1:16" x14ac:dyDescent="0.2">
      <c r="A5" s="2"/>
      <c r="B5" s="3" t="s">
        <v>36</v>
      </c>
      <c r="C5" s="4">
        <v>1</v>
      </c>
      <c r="D5" s="39">
        <v>24.95</v>
      </c>
      <c r="E5" s="26">
        <f t="shared" si="0"/>
        <v>24.95</v>
      </c>
      <c r="F5" s="21">
        <f>D5</f>
        <v>24.95</v>
      </c>
      <c r="G5" s="20">
        <f t="shared" si="1"/>
        <v>249.5</v>
      </c>
      <c r="H5" s="21">
        <f>D5</f>
        <v>24.95</v>
      </c>
      <c r="I5" s="20">
        <f t="shared" si="2"/>
        <v>623.75</v>
      </c>
      <c r="J5" s="95">
        <f>F5</f>
        <v>24.95</v>
      </c>
      <c r="K5" s="95">
        <f t="shared" ref="K5:K30" si="3">J5*$K$1</f>
        <v>299.39999999999998</v>
      </c>
      <c r="L5" s="2" t="s">
        <v>33</v>
      </c>
      <c r="M5" s="3"/>
      <c r="N5" s="29" t="s">
        <v>18</v>
      </c>
      <c r="O5" s="19" t="s">
        <v>34</v>
      </c>
      <c r="P5" s="43" t="s">
        <v>35</v>
      </c>
    </row>
    <row r="6" spans="1:16" x14ac:dyDescent="0.2">
      <c r="A6" s="2"/>
      <c r="B6" s="25" t="s">
        <v>37</v>
      </c>
      <c r="C6" s="4">
        <v>1</v>
      </c>
      <c r="D6" s="39">
        <v>12.95</v>
      </c>
      <c r="E6" s="26">
        <f t="shared" si="0"/>
        <v>12.95</v>
      </c>
      <c r="F6" s="21">
        <f>D6</f>
        <v>12.95</v>
      </c>
      <c r="G6" s="20">
        <f t="shared" si="1"/>
        <v>129.5</v>
      </c>
      <c r="H6" s="21">
        <f>D6</f>
        <v>12.95</v>
      </c>
      <c r="I6" s="20">
        <f t="shared" si="2"/>
        <v>323.75</v>
      </c>
      <c r="J6" s="95">
        <f>F6</f>
        <v>12.95</v>
      </c>
      <c r="K6" s="95">
        <f t="shared" si="3"/>
        <v>155.39999999999998</v>
      </c>
      <c r="L6" s="2" t="s">
        <v>33</v>
      </c>
      <c r="M6" s="3"/>
      <c r="N6" s="32" t="s">
        <v>18</v>
      </c>
      <c r="O6" s="19" t="s">
        <v>38</v>
      </c>
      <c r="P6" s="43" t="s">
        <v>39</v>
      </c>
    </row>
    <row r="7" spans="1:16" x14ac:dyDescent="0.2">
      <c r="A7" s="2"/>
      <c r="B7" s="25" t="s">
        <v>189</v>
      </c>
      <c r="C7" s="4">
        <v>1</v>
      </c>
      <c r="D7" s="39">
        <v>24.95</v>
      </c>
      <c r="E7" s="26">
        <f t="shared" si="0"/>
        <v>24.95</v>
      </c>
      <c r="F7" s="21">
        <v>23.7</v>
      </c>
      <c r="G7" s="20">
        <f t="shared" si="1"/>
        <v>237</v>
      </c>
      <c r="H7" s="21">
        <v>22.46</v>
      </c>
      <c r="I7" s="20">
        <f t="shared" si="2"/>
        <v>561.5</v>
      </c>
      <c r="J7" s="95">
        <f>F7</f>
        <v>23.7</v>
      </c>
      <c r="K7" s="95">
        <f t="shared" si="3"/>
        <v>284.39999999999998</v>
      </c>
      <c r="L7" s="2" t="s">
        <v>191</v>
      </c>
      <c r="M7" s="3" t="s">
        <v>192</v>
      </c>
      <c r="N7" s="32" t="s">
        <v>18</v>
      </c>
      <c r="O7" s="19" t="s">
        <v>193</v>
      </c>
      <c r="P7" s="43"/>
    </row>
    <row r="8" spans="1:16" x14ac:dyDescent="0.2">
      <c r="A8" s="2"/>
      <c r="B8" s="25" t="s">
        <v>194</v>
      </c>
      <c r="C8" s="4">
        <v>1</v>
      </c>
      <c r="D8" s="39">
        <v>1.95</v>
      </c>
      <c r="E8" s="26">
        <f t="shared" si="0"/>
        <v>1.95</v>
      </c>
      <c r="F8" s="21">
        <v>1.7549999999999999</v>
      </c>
      <c r="G8" s="20">
        <f t="shared" si="1"/>
        <v>17.549999999999997</v>
      </c>
      <c r="H8" s="21">
        <f>F8</f>
        <v>1.7549999999999999</v>
      </c>
      <c r="I8" s="20">
        <f t="shared" si="2"/>
        <v>43.875</v>
      </c>
      <c r="J8" s="95">
        <f>F8</f>
        <v>1.7549999999999999</v>
      </c>
      <c r="K8" s="95">
        <f t="shared" si="3"/>
        <v>21.06</v>
      </c>
      <c r="L8" s="2" t="s">
        <v>43</v>
      </c>
      <c r="M8" s="3" t="s">
        <v>195</v>
      </c>
      <c r="N8" s="32" t="s">
        <v>18</v>
      </c>
      <c r="O8" s="19" t="s">
        <v>196</v>
      </c>
      <c r="P8" s="43" t="s">
        <v>197</v>
      </c>
    </row>
    <row r="9" spans="1:16" x14ac:dyDescent="0.2">
      <c r="A9" s="2"/>
      <c r="B9" s="25" t="s">
        <v>282</v>
      </c>
      <c r="C9" s="4">
        <v>1</v>
      </c>
      <c r="D9" s="39">
        <f>9.802*5/3</f>
        <v>16.336666666666666</v>
      </c>
      <c r="E9" s="26">
        <f t="shared" si="0"/>
        <v>16.336666666666666</v>
      </c>
      <c r="F9" s="21">
        <f>D9</f>
        <v>16.336666666666666</v>
      </c>
      <c r="G9" s="20">
        <f t="shared" si="1"/>
        <v>163.36666666666667</v>
      </c>
      <c r="H9" s="21">
        <f>D9</f>
        <v>16.336666666666666</v>
      </c>
      <c r="I9" s="20">
        <f t="shared" si="2"/>
        <v>408.41666666666663</v>
      </c>
      <c r="J9" s="95">
        <f>331.5/12</f>
        <v>27.625</v>
      </c>
      <c r="K9" s="95">
        <f t="shared" si="3"/>
        <v>331.5</v>
      </c>
      <c r="L9" s="2" t="s">
        <v>268</v>
      </c>
      <c r="M9" s="25" t="s">
        <v>18</v>
      </c>
      <c r="N9" s="32" t="s">
        <v>18</v>
      </c>
      <c r="O9" s="19" t="s">
        <v>288</v>
      </c>
      <c r="P9" s="43" t="s">
        <v>286</v>
      </c>
    </row>
    <row r="10" spans="1:16" x14ac:dyDescent="0.2">
      <c r="A10" s="2"/>
      <c r="B10" s="25" t="s">
        <v>287</v>
      </c>
      <c r="C10" s="4">
        <v>1</v>
      </c>
      <c r="D10" s="99"/>
      <c r="E10" s="58">
        <f t="shared" si="0"/>
        <v>0</v>
      </c>
      <c r="F10" s="100"/>
      <c r="G10" s="59">
        <f t="shared" si="1"/>
        <v>0</v>
      </c>
      <c r="H10" s="100"/>
      <c r="I10" s="59">
        <f t="shared" si="2"/>
        <v>0</v>
      </c>
      <c r="J10" s="95">
        <f>(943.1-94.31)/12</f>
        <v>70.732500000000002</v>
      </c>
      <c r="K10" s="95">
        <f t="shared" si="3"/>
        <v>848.79</v>
      </c>
      <c r="L10" s="2" t="s">
        <v>259</v>
      </c>
      <c r="M10" s="25" t="s">
        <v>18</v>
      </c>
      <c r="N10" s="32" t="s">
        <v>18</v>
      </c>
      <c r="O10" s="19" t="s">
        <v>289</v>
      </c>
      <c r="P10" s="43" t="s">
        <v>290</v>
      </c>
    </row>
    <row r="11" spans="1:16" x14ac:dyDescent="0.2">
      <c r="A11" s="2"/>
      <c r="B11" s="25" t="s">
        <v>291</v>
      </c>
      <c r="C11" s="4">
        <v>1</v>
      </c>
      <c r="D11" s="99"/>
      <c r="E11" s="58">
        <f t="shared" si="0"/>
        <v>0</v>
      </c>
      <c r="F11" s="100"/>
      <c r="G11" s="59">
        <f t="shared" si="1"/>
        <v>0</v>
      </c>
      <c r="H11" s="100"/>
      <c r="I11" s="59">
        <f t="shared" si="2"/>
        <v>0</v>
      </c>
      <c r="J11" s="95">
        <f>703.13/12</f>
        <v>58.594166666666666</v>
      </c>
      <c r="K11" s="95">
        <f t="shared" si="3"/>
        <v>703.13</v>
      </c>
      <c r="L11" s="2" t="s">
        <v>259</v>
      </c>
      <c r="M11" s="25" t="s">
        <v>18</v>
      </c>
      <c r="N11" s="32" t="s">
        <v>18</v>
      </c>
      <c r="O11" s="19" t="s">
        <v>289</v>
      </c>
      <c r="P11" s="43" t="s">
        <v>292</v>
      </c>
    </row>
    <row r="12" spans="1:16" x14ac:dyDescent="0.2">
      <c r="A12" s="2"/>
      <c r="B12" s="25" t="s">
        <v>293</v>
      </c>
      <c r="C12" s="4">
        <v>1</v>
      </c>
      <c r="D12" s="39"/>
      <c r="E12" s="26">
        <f t="shared" si="0"/>
        <v>0</v>
      </c>
      <c r="F12" s="21"/>
      <c r="G12" s="20">
        <f t="shared" si="1"/>
        <v>0</v>
      </c>
      <c r="H12" s="21"/>
      <c r="I12" s="20">
        <f t="shared" si="2"/>
        <v>0</v>
      </c>
      <c r="J12" s="95"/>
      <c r="K12" s="95">
        <f t="shared" si="3"/>
        <v>0</v>
      </c>
      <c r="L12" s="2"/>
      <c r="M12" s="3"/>
      <c r="N12" s="29"/>
      <c r="O12" s="19"/>
      <c r="P12" s="43"/>
    </row>
    <row r="13" spans="1:16" x14ac:dyDescent="0.2">
      <c r="A13" s="2"/>
      <c r="B13" s="25"/>
      <c r="C13" s="4"/>
      <c r="D13" s="39"/>
      <c r="E13" s="26">
        <f t="shared" si="0"/>
        <v>0</v>
      </c>
      <c r="F13" s="21"/>
      <c r="G13" s="20">
        <f t="shared" si="1"/>
        <v>0</v>
      </c>
      <c r="H13" s="21"/>
      <c r="I13" s="20">
        <f t="shared" si="2"/>
        <v>0</v>
      </c>
      <c r="J13" s="95"/>
      <c r="K13" s="95">
        <f t="shared" si="3"/>
        <v>0</v>
      </c>
      <c r="L13" s="2"/>
      <c r="M13" s="3"/>
      <c r="N13" s="29"/>
      <c r="O13" s="19"/>
      <c r="P13" s="43"/>
    </row>
    <row r="14" spans="1:16" x14ac:dyDescent="0.2">
      <c r="A14" s="2"/>
      <c r="B14" s="25"/>
      <c r="C14" s="4"/>
      <c r="D14" s="39"/>
      <c r="E14" s="26">
        <f t="shared" si="0"/>
        <v>0</v>
      </c>
      <c r="F14" s="21"/>
      <c r="G14" s="20">
        <f t="shared" si="1"/>
        <v>0</v>
      </c>
      <c r="H14" s="21"/>
      <c r="I14" s="20">
        <f t="shared" si="2"/>
        <v>0</v>
      </c>
      <c r="J14" s="95"/>
      <c r="K14" s="95">
        <f t="shared" si="3"/>
        <v>0</v>
      </c>
      <c r="L14" s="2"/>
      <c r="M14" s="3"/>
      <c r="N14" s="29"/>
      <c r="O14" s="19"/>
      <c r="P14" s="43"/>
    </row>
    <row r="15" spans="1:16" x14ac:dyDescent="0.2">
      <c r="A15" s="2"/>
      <c r="B15" s="25"/>
      <c r="C15" s="4"/>
      <c r="D15" s="39"/>
      <c r="E15" s="26">
        <f t="shared" si="0"/>
        <v>0</v>
      </c>
      <c r="F15" s="21"/>
      <c r="G15" s="20">
        <f t="shared" si="1"/>
        <v>0</v>
      </c>
      <c r="H15" s="21"/>
      <c r="I15" s="20">
        <f t="shared" si="2"/>
        <v>0</v>
      </c>
      <c r="J15" s="95"/>
      <c r="K15" s="95">
        <f t="shared" si="3"/>
        <v>0</v>
      </c>
      <c r="L15" s="2"/>
      <c r="M15" s="3"/>
      <c r="N15" s="29"/>
      <c r="O15" s="19"/>
      <c r="P15" s="43"/>
    </row>
    <row r="16" spans="1:16" x14ac:dyDescent="0.2">
      <c r="A16" s="2"/>
      <c r="B16" s="25"/>
      <c r="C16" s="4"/>
      <c r="D16" s="39"/>
      <c r="E16" s="26">
        <f t="shared" si="0"/>
        <v>0</v>
      </c>
      <c r="F16" s="21"/>
      <c r="G16" s="20">
        <f t="shared" si="1"/>
        <v>0</v>
      </c>
      <c r="H16" s="21"/>
      <c r="I16" s="20">
        <f t="shared" si="2"/>
        <v>0</v>
      </c>
      <c r="J16" s="95"/>
      <c r="K16" s="95">
        <f t="shared" si="3"/>
        <v>0</v>
      </c>
      <c r="L16" s="2"/>
      <c r="M16" s="3"/>
      <c r="N16" s="32"/>
      <c r="O16" s="27"/>
      <c r="P16" s="43"/>
    </row>
    <row r="17" spans="1:16" x14ac:dyDescent="0.2">
      <c r="A17" s="2"/>
      <c r="B17" s="25"/>
      <c r="C17" s="4"/>
      <c r="D17" s="39"/>
      <c r="E17" s="26">
        <f t="shared" si="0"/>
        <v>0</v>
      </c>
      <c r="F17" s="21"/>
      <c r="G17" s="20">
        <f t="shared" si="1"/>
        <v>0</v>
      </c>
      <c r="H17" s="21"/>
      <c r="I17" s="20">
        <f t="shared" si="2"/>
        <v>0</v>
      </c>
      <c r="J17" s="95"/>
      <c r="K17" s="95">
        <f t="shared" si="3"/>
        <v>0</v>
      </c>
      <c r="L17" s="2"/>
      <c r="M17" s="3"/>
      <c r="N17" s="29"/>
      <c r="O17" s="19"/>
      <c r="P17" s="43"/>
    </row>
    <row r="18" spans="1:16" x14ac:dyDescent="0.2">
      <c r="A18" s="2"/>
      <c r="B18" s="25"/>
      <c r="C18" s="4"/>
      <c r="D18" s="39"/>
      <c r="E18" s="26">
        <f t="shared" si="0"/>
        <v>0</v>
      </c>
      <c r="F18" s="21"/>
      <c r="G18" s="20">
        <f t="shared" si="1"/>
        <v>0</v>
      </c>
      <c r="H18" s="21"/>
      <c r="I18" s="20">
        <f t="shared" si="2"/>
        <v>0</v>
      </c>
      <c r="J18" s="95"/>
      <c r="K18" s="95">
        <f t="shared" si="3"/>
        <v>0</v>
      </c>
      <c r="L18" s="2"/>
      <c r="M18" s="3"/>
      <c r="N18" s="29"/>
      <c r="O18" s="19"/>
      <c r="P18" s="43"/>
    </row>
    <row r="19" spans="1:16" x14ac:dyDescent="0.2">
      <c r="A19" s="2"/>
      <c r="B19" s="25"/>
      <c r="C19" s="4"/>
      <c r="D19" s="39"/>
      <c r="E19" s="26">
        <f t="shared" si="0"/>
        <v>0</v>
      </c>
      <c r="F19" s="21"/>
      <c r="G19" s="20">
        <f t="shared" si="1"/>
        <v>0</v>
      </c>
      <c r="H19" s="21"/>
      <c r="I19" s="20">
        <f t="shared" si="2"/>
        <v>0</v>
      </c>
      <c r="J19" s="95"/>
      <c r="K19" s="95">
        <f t="shared" si="3"/>
        <v>0</v>
      </c>
      <c r="L19" s="2"/>
      <c r="M19" s="3"/>
      <c r="N19" s="29"/>
      <c r="O19" s="19"/>
      <c r="P19" s="43"/>
    </row>
    <row r="20" spans="1:16" x14ac:dyDescent="0.2">
      <c r="A20" s="2"/>
      <c r="B20" s="25"/>
      <c r="C20" s="4"/>
      <c r="D20" s="39"/>
      <c r="E20" s="26">
        <f t="shared" si="0"/>
        <v>0</v>
      </c>
      <c r="F20" s="21"/>
      <c r="G20" s="20">
        <f t="shared" si="1"/>
        <v>0</v>
      </c>
      <c r="H20" s="21"/>
      <c r="I20" s="20">
        <f t="shared" si="2"/>
        <v>0</v>
      </c>
      <c r="J20" s="95"/>
      <c r="K20" s="95">
        <f t="shared" si="3"/>
        <v>0</v>
      </c>
      <c r="L20" s="2"/>
      <c r="M20" s="3"/>
      <c r="N20" s="29"/>
      <c r="O20" s="19"/>
      <c r="P20" s="43"/>
    </row>
    <row r="21" spans="1:16" x14ac:dyDescent="0.2">
      <c r="A21" s="2"/>
      <c r="B21" s="25"/>
      <c r="C21" s="4"/>
      <c r="D21" s="39"/>
      <c r="E21" s="26">
        <f t="shared" si="0"/>
        <v>0</v>
      </c>
      <c r="F21" s="21"/>
      <c r="G21" s="20">
        <f t="shared" si="1"/>
        <v>0</v>
      </c>
      <c r="H21" s="21"/>
      <c r="I21" s="20">
        <f t="shared" si="2"/>
        <v>0</v>
      </c>
      <c r="J21" s="95"/>
      <c r="K21" s="95">
        <f t="shared" si="3"/>
        <v>0</v>
      </c>
      <c r="L21" s="2"/>
      <c r="M21" s="3"/>
      <c r="N21" s="29"/>
      <c r="O21" s="19"/>
      <c r="P21" s="43"/>
    </row>
    <row r="22" spans="1:16" x14ac:dyDescent="0.2">
      <c r="A22" s="2"/>
      <c r="B22" s="25"/>
      <c r="C22" s="4"/>
      <c r="D22" s="39"/>
      <c r="E22" s="26">
        <f t="shared" si="0"/>
        <v>0</v>
      </c>
      <c r="F22" s="21"/>
      <c r="G22" s="20">
        <f t="shared" si="1"/>
        <v>0</v>
      </c>
      <c r="H22" s="21"/>
      <c r="I22" s="20">
        <f t="shared" si="2"/>
        <v>0</v>
      </c>
      <c r="J22" s="95"/>
      <c r="K22" s="95">
        <f t="shared" si="3"/>
        <v>0</v>
      </c>
      <c r="L22" s="2"/>
      <c r="M22" s="3"/>
      <c r="N22" s="29"/>
      <c r="O22" s="19"/>
      <c r="P22" s="43"/>
    </row>
    <row r="23" spans="1:16" x14ac:dyDescent="0.2">
      <c r="A23" s="2"/>
      <c r="B23" s="25"/>
      <c r="C23" s="4"/>
      <c r="D23" s="39"/>
      <c r="E23" s="26">
        <f t="shared" si="0"/>
        <v>0</v>
      </c>
      <c r="F23" s="21"/>
      <c r="G23" s="20">
        <f t="shared" si="1"/>
        <v>0</v>
      </c>
      <c r="H23" s="21"/>
      <c r="I23" s="20">
        <f t="shared" si="2"/>
        <v>0</v>
      </c>
      <c r="J23" s="95"/>
      <c r="K23" s="95">
        <f t="shared" si="3"/>
        <v>0</v>
      </c>
      <c r="L23" s="2"/>
      <c r="M23" s="3"/>
      <c r="N23" s="29"/>
      <c r="O23" s="19"/>
      <c r="P23" s="43"/>
    </row>
    <row r="24" spans="1:16" x14ac:dyDescent="0.2">
      <c r="A24" s="2"/>
      <c r="B24" s="25"/>
      <c r="C24" s="4"/>
      <c r="D24" s="39"/>
      <c r="E24" s="26">
        <f t="shared" si="0"/>
        <v>0</v>
      </c>
      <c r="F24" s="21"/>
      <c r="G24" s="20">
        <f t="shared" si="1"/>
        <v>0</v>
      </c>
      <c r="H24" s="21"/>
      <c r="I24" s="20">
        <f t="shared" si="2"/>
        <v>0</v>
      </c>
      <c r="J24" s="95"/>
      <c r="K24" s="95">
        <f t="shared" si="3"/>
        <v>0</v>
      </c>
      <c r="L24" s="2"/>
      <c r="M24" s="3"/>
      <c r="N24" s="29"/>
      <c r="O24" s="19"/>
      <c r="P24" s="43"/>
    </row>
    <row r="25" spans="1:16" x14ac:dyDescent="0.2">
      <c r="A25" s="2"/>
      <c r="B25" s="25"/>
      <c r="C25" s="4"/>
      <c r="D25" s="39"/>
      <c r="E25" s="26">
        <f t="shared" si="0"/>
        <v>0</v>
      </c>
      <c r="F25" s="21"/>
      <c r="G25" s="20">
        <f t="shared" si="1"/>
        <v>0</v>
      </c>
      <c r="H25" s="21"/>
      <c r="I25" s="20">
        <f t="shared" si="2"/>
        <v>0</v>
      </c>
      <c r="J25" s="95"/>
      <c r="K25" s="95">
        <f t="shared" si="3"/>
        <v>0</v>
      </c>
      <c r="L25" s="2"/>
      <c r="M25" s="3"/>
      <c r="N25" s="29"/>
      <c r="O25" s="19"/>
      <c r="P25" s="43"/>
    </row>
    <row r="26" spans="1:16" x14ac:dyDescent="0.2">
      <c r="A26" s="2"/>
      <c r="B26" s="3"/>
      <c r="C26" s="4"/>
      <c r="D26" s="39"/>
      <c r="E26" s="26">
        <f t="shared" si="0"/>
        <v>0</v>
      </c>
      <c r="F26" s="21"/>
      <c r="G26" s="20">
        <f t="shared" si="1"/>
        <v>0</v>
      </c>
      <c r="H26" s="21"/>
      <c r="I26" s="20">
        <f t="shared" si="2"/>
        <v>0</v>
      </c>
      <c r="J26" s="95"/>
      <c r="K26" s="95">
        <f t="shared" si="3"/>
        <v>0</v>
      </c>
      <c r="L26" s="2"/>
      <c r="M26" s="3"/>
      <c r="N26" s="29"/>
      <c r="O26" s="4"/>
      <c r="P26" s="43"/>
    </row>
    <row r="27" spans="1:16" x14ac:dyDescent="0.2">
      <c r="A27" s="2"/>
      <c r="B27" s="3"/>
      <c r="C27" s="4"/>
      <c r="D27" s="39"/>
      <c r="E27" s="26">
        <f t="shared" si="0"/>
        <v>0</v>
      </c>
      <c r="F27" s="21"/>
      <c r="G27" s="20">
        <f t="shared" si="1"/>
        <v>0</v>
      </c>
      <c r="H27" s="21"/>
      <c r="I27" s="20">
        <f t="shared" si="2"/>
        <v>0</v>
      </c>
      <c r="J27" s="95"/>
      <c r="K27" s="95">
        <f t="shared" si="3"/>
        <v>0</v>
      </c>
      <c r="L27" s="2"/>
      <c r="M27" s="3"/>
      <c r="N27" s="29"/>
      <c r="O27" s="4"/>
      <c r="P27" s="43"/>
    </row>
    <row r="28" spans="1:16" x14ac:dyDescent="0.2">
      <c r="A28" s="2"/>
      <c r="B28" s="3"/>
      <c r="C28" s="4"/>
      <c r="D28" s="39"/>
      <c r="E28" s="26">
        <f t="shared" si="0"/>
        <v>0</v>
      </c>
      <c r="F28" s="21"/>
      <c r="G28" s="20">
        <f t="shared" si="1"/>
        <v>0</v>
      </c>
      <c r="H28" s="21"/>
      <c r="I28" s="20">
        <f t="shared" si="2"/>
        <v>0</v>
      </c>
      <c r="J28" s="95"/>
      <c r="K28" s="95">
        <f t="shared" si="3"/>
        <v>0</v>
      </c>
      <c r="L28" s="2"/>
      <c r="M28" s="3"/>
      <c r="N28" s="29"/>
      <c r="O28" s="4"/>
      <c r="P28" s="43"/>
    </row>
    <row r="29" spans="1:16" x14ac:dyDescent="0.2">
      <c r="A29" s="2"/>
      <c r="B29" s="3"/>
      <c r="C29" s="4"/>
      <c r="D29" s="39"/>
      <c r="E29" s="26">
        <f t="shared" si="0"/>
        <v>0</v>
      </c>
      <c r="F29" s="21"/>
      <c r="G29" s="20">
        <f t="shared" si="1"/>
        <v>0</v>
      </c>
      <c r="H29" s="21"/>
      <c r="I29" s="20">
        <f t="shared" si="2"/>
        <v>0</v>
      </c>
      <c r="J29" s="95"/>
      <c r="K29" s="95">
        <f t="shared" si="3"/>
        <v>0</v>
      </c>
      <c r="L29" s="2"/>
      <c r="M29" s="3"/>
      <c r="N29" s="29"/>
      <c r="O29" s="4"/>
      <c r="P29" s="43"/>
    </row>
    <row r="30" spans="1:16" ht="17" thickBot="1" x14ac:dyDescent="0.25">
      <c r="A30" s="5"/>
      <c r="B30" s="6"/>
      <c r="C30" s="7"/>
      <c r="D30" s="40"/>
      <c r="E30" s="15">
        <f t="shared" si="0"/>
        <v>0</v>
      </c>
      <c r="F30" s="23"/>
      <c r="G30" s="22">
        <f t="shared" si="1"/>
        <v>0</v>
      </c>
      <c r="H30" s="23"/>
      <c r="I30" s="22">
        <f t="shared" si="2"/>
        <v>0</v>
      </c>
      <c r="J30" s="96"/>
      <c r="K30" s="96">
        <f t="shared" si="3"/>
        <v>0</v>
      </c>
      <c r="L30" s="5"/>
      <c r="M30" s="6"/>
      <c r="N30" s="33"/>
      <c r="O30" s="7"/>
      <c r="P30" s="44"/>
    </row>
    <row r="31" spans="1:16" x14ac:dyDescent="0.2">
      <c r="D31" s="24" t="s">
        <v>12</v>
      </c>
      <c r="E31" s="24">
        <f>SUM(E4:E30)</f>
        <v>82.036666666666662</v>
      </c>
      <c r="F31" s="24" t="s">
        <v>12</v>
      </c>
      <c r="G31" s="24">
        <f t="shared" ref="G31:I31" si="4">SUM(G4:G30)</f>
        <v>805.03666666666663</v>
      </c>
      <c r="H31" s="24" t="s">
        <v>12</v>
      </c>
      <c r="I31" s="24">
        <f t="shared" si="4"/>
        <v>1981.5916666666667</v>
      </c>
      <c r="J31" s="24" t="s">
        <v>12</v>
      </c>
      <c r="K31" s="24">
        <f>SUM(K4:K30)</f>
        <v>2653.424</v>
      </c>
      <c r="N31" s="30"/>
    </row>
    <row r="32" spans="1:16" x14ac:dyDescent="0.2">
      <c r="D32" t="s">
        <v>13</v>
      </c>
      <c r="E32" s="24">
        <f>E31</f>
        <v>82.036666666666662</v>
      </c>
      <c r="F32" t="s">
        <v>13</v>
      </c>
      <c r="G32" s="35">
        <f>G31/10</f>
        <v>80.50366666666666</v>
      </c>
      <c r="H32" t="s">
        <v>13</v>
      </c>
      <c r="I32" s="35">
        <f>I31/25</f>
        <v>79.263666666666666</v>
      </c>
      <c r="J32" t="s">
        <v>13</v>
      </c>
      <c r="K32" s="35">
        <f>K31/K1</f>
        <v>221.11866666666666</v>
      </c>
      <c r="N32" s="30"/>
    </row>
  </sheetData>
  <mergeCells count="7">
    <mergeCell ref="P2:P3"/>
    <mergeCell ref="A2:B2"/>
    <mergeCell ref="D2:E2"/>
    <mergeCell ref="F2:G2"/>
    <mergeCell ref="H2:I2"/>
    <mergeCell ref="L2:O2"/>
    <mergeCell ref="J2:K2"/>
  </mergeCells>
  <hyperlinks>
    <hyperlink ref="O9" r:id="rId1"/>
    <hyperlink ref="O10" r:id="rId2"/>
    <hyperlink ref="O11" r:id="rId3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B40" sqref="B40"/>
    </sheetView>
  </sheetViews>
  <sheetFormatPr baseColWidth="10" defaultRowHeight="16" x14ac:dyDescent="0.2"/>
  <cols>
    <col min="1" max="1" width="7.6640625" bestFit="1" customWidth="1"/>
    <col min="2" max="2" width="27.83203125" bestFit="1" customWidth="1"/>
    <col min="3" max="3" width="21.83203125" bestFit="1" customWidth="1"/>
    <col min="4" max="4" width="24" style="52" bestFit="1" customWidth="1"/>
    <col min="5" max="5" width="32.5" bestFit="1" customWidth="1"/>
    <col min="6" max="6" width="14" bestFit="1" customWidth="1"/>
    <col min="7" max="7" width="19.6640625" bestFit="1" customWidth="1"/>
    <col min="8" max="8" width="16.83203125" bestFit="1" customWidth="1"/>
    <col min="9" max="9" width="19.6640625" bestFit="1" customWidth="1"/>
    <col min="10" max="10" width="16.83203125" bestFit="1" customWidth="1"/>
    <col min="11" max="11" width="19.6640625" bestFit="1" customWidth="1"/>
    <col min="12" max="12" width="16.83203125" bestFit="1" customWidth="1"/>
    <col min="13" max="13" width="8.5" bestFit="1" customWidth="1"/>
    <col min="14" max="14" width="20.83203125" bestFit="1" customWidth="1"/>
    <col min="15" max="15" width="18.33203125" style="30" bestFit="1" customWidth="1"/>
    <col min="16" max="16" width="138.1640625" bestFit="1" customWidth="1"/>
    <col min="17" max="17" width="98" bestFit="1" customWidth="1"/>
  </cols>
  <sheetData>
    <row r="1" spans="1:17" ht="17" thickBot="1" x14ac:dyDescent="0.25">
      <c r="A1" s="94" t="s">
        <v>62</v>
      </c>
      <c r="B1" s="94"/>
      <c r="C1" s="50" t="s">
        <v>63</v>
      </c>
      <c r="D1" s="3" t="s">
        <v>29</v>
      </c>
      <c r="E1" t="s">
        <v>79</v>
      </c>
    </row>
    <row r="2" spans="1:17" ht="17" thickBot="1" x14ac:dyDescent="0.25">
      <c r="A2" s="89" t="s">
        <v>5</v>
      </c>
      <c r="B2" s="93"/>
      <c r="C2" s="90"/>
      <c r="D2" s="90"/>
      <c r="E2" s="90"/>
      <c r="F2" s="17"/>
      <c r="G2" s="89" t="s">
        <v>154</v>
      </c>
      <c r="H2" s="91"/>
      <c r="I2" s="92" t="s">
        <v>155</v>
      </c>
      <c r="J2" s="91"/>
      <c r="K2" s="89" t="s">
        <v>156</v>
      </c>
      <c r="L2" s="91"/>
      <c r="M2" s="89" t="s">
        <v>8</v>
      </c>
      <c r="N2" s="93"/>
      <c r="O2" s="90"/>
      <c r="P2" s="91"/>
      <c r="Q2" s="87" t="s">
        <v>27</v>
      </c>
    </row>
    <row r="3" spans="1:17" ht="18" thickTop="1" thickBot="1" x14ac:dyDescent="0.25">
      <c r="A3" s="10" t="s">
        <v>58</v>
      </c>
      <c r="B3" s="11" t="s">
        <v>54</v>
      </c>
      <c r="C3" s="16" t="s">
        <v>55</v>
      </c>
      <c r="D3" s="51" t="s">
        <v>56</v>
      </c>
      <c r="E3" s="16" t="s">
        <v>57</v>
      </c>
      <c r="F3" s="18" t="s">
        <v>9</v>
      </c>
      <c r="G3" s="10" t="s">
        <v>157</v>
      </c>
      <c r="H3" s="28" t="s">
        <v>158</v>
      </c>
      <c r="I3" s="36" t="s">
        <v>157</v>
      </c>
      <c r="J3" s="28" t="s">
        <v>158</v>
      </c>
      <c r="K3" s="12" t="s">
        <v>157</v>
      </c>
      <c r="L3" s="28" t="s">
        <v>158</v>
      </c>
      <c r="M3" s="12" t="s">
        <v>2</v>
      </c>
      <c r="N3" s="14" t="s">
        <v>44</v>
      </c>
      <c r="O3" s="31" t="s">
        <v>10</v>
      </c>
      <c r="P3" s="13" t="s">
        <v>93</v>
      </c>
      <c r="Q3" s="88"/>
    </row>
    <row r="4" spans="1:17" x14ac:dyDescent="0.2">
      <c r="A4" s="8" t="s">
        <v>59</v>
      </c>
      <c r="B4" s="9" t="s">
        <v>221</v>
      </c>
      <c r="C4" s="9" t="s">
        <v>181</v>
      </c>
      <c r="D4" s="48" t="s">
        <v>182</v>
      </c>
      <c r="E4" s="9" t="s">
        <v>30</v>
      </c>
      <c r="F4" s="45">
        <v>13</v>
      </c>
      <c r="G4" s="66">
        <v>0.38</v>
      </c>
      <c r="H4" s="38">
        <f t="shared" ref="H4:H37" si="0">F4*G4</f>
        <v>4.9400000000000004</v>
      </c>
      <c r="I4" s="71">
        <v>0.36399999999999999</v>
      </c>
      <c r="J4" s="42">
        <f t="shared" ref="J4:J37" si="1">F4*I4*10</f>
        <v>47.32</v>
      </c>
      <c r="K4" s="71">
        <v>0.312</v>
      </c>
      <c r="L4" s="42">
        <f t="shared" ref="L4:L37" si="2">F4*K4*25</f>
        <v>101.4</v>
      </c>
      <c r="M4" s="8" t="s">
        <v>43</v>
      </c>
      <c r="N4" s="9" t="s">
        <v>183</v>
      </c>
      <c r="O4" s="48" t="s">
        <v>61</v>
      </c>
      <c r="P4" s="49" t="s">
        <v>186</v>
      </c>
      <c r="Q4" s="4"/>
    </row>
    <row r="5" spans="1:17" x14ac:dyDescent="0.2">
      <c r="A5" s="2" t="s">
        <v>59</v>
      </c>
      <c r="B5" s="3" t="s">
        <v>188</v>
      </c>
      <c r="C5" s="3" t="s">
        <v>181</v>
      </c>
      <c r="D5" s="29" t="s">
        <v>184</v>
      </c>
      <c r="E5" s="3" t="s">
        <v>31</v>
      </c>
      <c r="F5" s="4">
        <v>4</v>
      </c>
      <c r="G5" s="67">
        <v>0.67</v>
      </c>
      <c r="H5" s="26">
        <f t="shared" si="0"/>
        <v>2.68</v>
      </c>
      <c r="I5" s="72">
        <v>0.624</v>
      </c>
      <c r="J5" s="20">
        <f t="shared" si="1"/>
        <v>24.96</v>
      </c>
      <c r="K5" s="72">
        <v>0.56159999999999999</v>
      </c>
      <c r="L5" s="20">
        <f t="shared" si="2"/>
        <v>56.16</v>
      </c>
      <c r="M5" s="2" t="s">
        <v>43</v>
      </c>
      <c r="N5" s="3" t="s">
        <v>185</v>
      </c>
      <c r="O5" s="29" t="s">
        <v>61</v>
      </c>
      <c r="P5" s="19" t="s">
        <v>187</v>
      </c>
      <c r="Q5" s="4"/>
    </row>
    <row r="6" spans="1:17" x14ac:dyDescent="0.2">
      <c r="A6" s="2" t="s">
        <v>59</v>
      </c>
      <c r="B6" s="3" t="s">
        <v>45</v>
      </c>
      <c r="C6" s="25" t="s">
        <v>81</v>
      </c>
      <c r="D6" s="29" t="s">
        <v>64</v>
      </c>
      <c r="E6" s="25" t="s">
        <v>65</v>
      </c>
      <c r="F6" s="4">
        <v>1</v>
      </c>
      <c r="G6" s="67">
        <v>6.2</v>
      </c>
      <c r="H6" s="26">
        <f t="shared" si="0"/>
        <v>6.2</v>
      </c>
      <c r="I6" s="72">
        <v>5.7</v>
      </c>
      <c r="J6" s="20">
        <f t="shared" si="1"/>
        <v>57</v>
      </c>
      <c r="K6" s="72">
        <v>5.43</v>
      </c>
      <c r="L6" s="20">
        <f t="shared" si="2"/>
        <v>135.75</v>
      </c>
      <c r="M6" s="2" t="s">
        <v>15</v>
      </c>
      <c r="N6" s="3" t="s">
        <v>40</v>
      </c>
      <c r="O6" s="32" t="s">
        <v>41</v>
      </c>
      <c r="P6" s="19" t="s">
        <v>42</v>
      </c>
      <c r="Q6" s="4"/>
    </row>
    <row r="7" spans="1:17" x14ac:dyDescent="0.2">
      <c r="A7" s="54" t="s">
        <v>101</v>
      </c>
      <c r="B7" s="55" t="s">
        <v>73</v>
      </c>
      <c r="C7" s="55" t="s">
        <v>82</v>
      </c>
      <c r="D7" s="56" t="s">
        <v>74</v>
      </c>
      <c r="E7" s="55" t="s">
        <v>75</v>
      </c>
      <c r="F7" s="57">
        <v>1</v>
      </c>
      <c r="G7" s="68">
        <v>0.22</v>
      </c>
      <c r="H7" s="58">
        <f t="shared" si="0"/>
        <v>0.22</v>
      </c>
      <c r="I7" s="73">
        <v>0.153</v>
      </c>
      <c r="J7" s="59">
        <f t="shared" si="1"/>
        <v>1.53</v>
      </c>
      <c r="K7" s="73">
        <v>0.1124</v>
      </c>
      <c r="L7" s="59">
        <f t="shared" si="2"/>
        <v>2.81</v>
      </c>
      <c r="M7" s="54" t="s">
        <v>43</v>
      </c>
      <c r="N7" s="55" t="s">
        <v>76</v>
      </c>
      <c r="O7" s="56" t="s">
        <v>77</v>
      </c>
      <c r="P7" s="60" t="s">
        <v>78</v>
      </c>
      <c r="Q7" s="57"/>
    </row>
    <row r="8" spans="1:17" x14ac:dyDescent="0.2">
      <c r="A8" s="2" t="s">
        <v>59</v>
      </c>
      <c r="B8" s="25" t="s">
        <v>46</v>
      </c>
      <c r="C8" s="25" t="s">
        <v>66</v>
      </c>
      <c r="D8" s="32" t="s">
        <v>67</v>
      </c>
      <c r="E8" s="25" t="s">
        <v>23</v>
      </c>
      <c r="F8" s="4">
        <v>1</v>
      </c>
      <c r="G8" s="67">
        <v>1.74</v>
      </c>
      <c r="H8" s="26">
        <f t="shared" ref="H8:H13" si="3">F8*G8</f>
        <v>1.74</v>
      </c>
      <c r="I8" s="72">
        <v>1.74</v>
      </c>
      <c r="J8" s="20">
        <f t="shared" ref="J8:J13" si="4">F8*I8*10</f>
        <v>17.399999999999999</v>
      </c>
      <c r="K8" s="72">
        <v>1.49</v>
      </c>
      <c r="L8" s="20">
        <f t="shared" ref="L8:L13" si="5">F8*K8*25</f>
        <v>37.25</v>
      </c>
      <c r="M8" s="2" t="s">
        <v>24</v>
      </c>
      <c r="N8" s="3" t="s">
        <v>25</v>
      </c>
      <c r="O8" s="32" t="s">
        <v>18</v>
      </c>
      <c r="P8" s="27" t="s">
        <v>26</v>
      </c>
      <c r="Q8" s="4"/>
    </row>
    <row r="9" spans="1:17" x14ac:dyDescent="0.2">
      <c r="A9" s="2" t="s">
        <v>59</v>
      </c>
      <c r="B9" s="3" t="s">
        <v>47</v>
      </c>
      <c r="C9" s="25" t="s">
        <v>69</v>
      </c>
      <c r="D9" s="29" t="s">
        <v>68</v>
      </c>
      <c r="E9" s="25" t="s">
        <v>14</v>
      </c>
      <c r="F9" s="4">
        <v>1</v>
      </c>
      <c r="G9" s="67">
        <v>9.9700000000000006</v>
      </c>
      <c r="H9" s="26">
        <f t="shared" si="3"/>
        <v>9.9700000000000006</v>
      </c>
      <c r="I9" s="72">
        <v>9.41</v>
      </c>
      <c r="J9" s="20">
        <f t="shared" si="4"/>
        <v>94.1</v>
      </c>
      <c r="K9" s="72">
        <v>7.5275999999999996</v>
      </c>
      <c r="L9" s="20">
        <f t="shared" si="5"/>
        <v>188.19</v>
      </c>
      <c r="M9" s="2" t="s">
        <v>43</v>
      </c>
      <c r="N9" s="3" t="s">
        <v>96</v>
      </c>
      <c r="O9" s="32" t="s">
        <v>16</v>
      </c>
      <c r="P9" s="19" t="s">
        <v>97</v>
      </c>
      <c r="Q9" s="4"/>
    </row>
    <row r="10" spans="1:17" x14ac:dyDescent="0.2">
      <c r="A10" s="2" t="s">
        <v>59</v>
      </c>
      <c r="B10" s="25" t="s">
        <v>222</v>
      </c>
      <c r="C10" s="25" t="s">
        <v>88</v>
      </c>
      <c r="D10" s="29" t="s">
        <v>89</v>
      </c>
      <c r="E10" s="25" t="s">
        <v>90</v>
      </c>
      <c r="F10" s="4">
        <v>12</v>
      </c>
      <c r="G10" s="67">
        <v>0.1</v>
      </c>
      <c r="H10" s="26">
        <f t="shared" si="3"/>
        <v>1.2000000000000002</v>
      </c>
      <c r="I10" s="72">
        <v>2.1000000000000001E-2</v>
      </c>
      <c r="J10" s="20">
        <f t="shared" si="4"/>
        <v>2.52</v>
      </c>
      <c r="K10" s="72">
        <v>1.52E-2</v>
      </c>
      <c r="L10" s="20">
        <f t="shared" si="5"/>
        <v>4.5600000000000005</v>
      </c>
      <c r="M10" s="2" t="s">
        <v>43</v>
      </c>
      <c r="N10" s="3" t="s">
        <v>91</v>
      </c>
      <c r="O10" s="32" t="s">
        <v>86</v>
      </c>
      <c r="P10" s="19" t="s">
        <v>92</v>
      </c>
      <c r="Q10" s="4"/>
    </row>
    <row r="11" spans="1:17" x14ac:dyDescent="0.2">
      <c r="A11" s="2" t="s">
        <v>59</v>
      </c>
      <c r="B11" s="25" t="s">
        <v>171</v>
      </c>
      <c r="C11" s="25" t="s">
        <v>80</v>
      </c>
      <c r="D11" s="29" t="s">
        <v>83</v>
      </c>
      <c r="E11" s="25" t="s">
        <v>84</v>
      </c>
      <c r="F11" s="4">
        <v>3</v>
      </c>
      <c r="G11" s="67">
        <v>0.25</v>
      </c>
      <c r="H11" s="26">
        <f t="shared" si="3"/>
        <v>0.75</v>
      </c>
      <c r="I11" s="72">
        <v>0.20799999999999999</v>
      </c>
      <c r="J11" s="20">
        <f t="shared" si="4"/>
        <v>6.24</v>
      </c>
      <c r="K11" s="72">
        <f>I11</f>
        <v>0.20799999999999999</v>
      </c>
      <c r="L11" s="20">
        <f t="shared" si="5"/>
        <v>15.6</v>
      </c>
      <c r="M11" s="2" t="s">
        <v>43</v>
      </c>
      <c r="N11" s="3" t="s">
        <v>85</v>
      </c>
      <c r="O11" s="32" t="s">
        <v>86</v>
      </c>
      <c r="P11" s="19" t="s">
        <v>87</v>
      </c>
      <c r="Q11" s="4"/>
    </row>
    <row r="12" spans="1:17" x14ac:dyDescent="0.2">
      <c r="A12" s="2" t="s">
        <v>59</v>
      </c>
      <c r="B12" s="3" t="s">
        <v>48</v>
      </c>
      <c r="C12" s="25" t="s">
        <v>70</v>
      </c>
      <c r="D12" s="29" t="s">
        <v>71</v>
      </c>
      <c r="E12" s="25" t="s">
        <v>17</v>
      </c>
      <c r="F12" s="4">
        <v>1</v>
      </c>
      <c r="G12" s="67">
        <v>0.57999999999999996</v>
      </c>
      <c r="H12" s="26">
        <f t="shared" si="3"/>
        <v>0.57999999999999996</v>
      </c>
      <c r="I12" s="72">
        <v>0.54500000000000004</v>
      </c>
      <c r="J12" s="20">
        <f t="shared" si="4"/>
        <v>5.45</v>
      </c>
      <c r="K12" s="72">
        <f>I12</f>
        <v>0.54500000000000004</v>
      </c>
      <c r="L12" s="20">
        <f t="shared" si="5"/>
        <v>13.625000000000002</v>
      </c>
      <c r="M12" s="2" t="s">
        <v>43</v>
      </c>
      <c r="N12" s="3" t="s">
        <v>94</v>
      </c>
      <c r="O12" s="32" t="s">
        <v>60</v>
      </c>
      <c r="P12" s="19" t="s">
        <v>95</v>
      </c>
      <c r="Q12" s="4"/>
    </row>
    <row r="13" spans="1:17" x14ac:dyDescent="0.2">
      <c r="A13" s="2" t="s">
        <v>59</v>
      </c>
      <c r="B13" s="25" t="s">
        <v>219</v>
      </c>
      <c r="C13" s="25" t="s">
        <v>146</v>
      </c>
      <c r="D13" s="29" t="s">
        <v>147</v>
      </c>
      <c r="E13" s="25" t="s">
        <v>20</v>
      </c>
      <c r="F13" s="4">
        <v>1</v>
      </c>
      <c r="G13" s="67">
        <v>0.27</v>
      </c>
      <c r="H13" s="26">
        <f t="shared" si="3"/>
        <v>0.27</v>
      </c>
      <c r="I13" s="72">
        <v>0.19600000000000001</v>
      </c>
      <c r="J13" s="20">
        <f t="shared" si="4"/>
        <v>1.96</v>
      </c>
      <c r="K13" s="72">
        <v>0.14480000000000001</v>
      </c>
      <c r="L13" s="20">
        <f t="shared" si="5"/>
        <v>3.62</v>
      </c>
      <c r="M13" s="2" t="s">
        <v>43</v>
      </c>
      <c r="N13" s="3" t="s">
        <v>148</v>
      </c>
      <c r="O13" s="32" t="s">
        <v>149</v>
      </c>
      <c r="P13" s="19" t="s">
        <v>150</v>
      </c>
      <c r="Q13" s="4"/>
    </row>
    <row r="14" spans="1:17" x14ac:dyDescent="0.2">
      <c r="A14" s="2" t="s">
        <v>59</v>
      </c>
      <c r="B14" s="25" t="s">
        <v>220</v>
      </c>
      <c r="C14" s="25" t="s">
        <v>146</v>
      </c>
      <c r="D14" s="32" t="s">
        <v>151</v>
      </c>
      <c r="E14" s="25" t="s">
        <v>21</v>
      </c>
      <c r="F14" s="4">
        <v>1</v>
      </c>
      <c r="G14" s="67">
        <v>0.27</v>
      </c>
      <c r="H14" s="26">
        <f t="shared" si="0"/>
        <v>0.27</v>
      </c>
      <c r="I14" s="72">
        <v>0.19600000000000001</v>
      </c>
      <c r="J14" s="20">
        <f t="shared" si="1"/>
        <v>1.96</v>
      </c>
      <c r="K14" s="72">
        <v>0.14480000000000001</v>
      </c>
      <c r="L14" s="20">
        <f t="shared" si="2"/>
        <v>3.62</v>
      </c>
      <c r="M14" s="2" t="s">
        <v>43</v>
      </c>
      <c r="N14" s="3" t="s">
        <v>152</v>
      </c>
      <c r="O14" s="32" t="s">
        <v>149</v>
      </c>
      <c r="P14" s="19" t="s">
        <v>153</v>
      </c>
      <c r="Q14" s="4"/>
    </row>
    <row r="15" spans="1:17" x14ac:dyDescent="0.2">
      <c r="A15" s="2" t="s">
        <v>59</v>
      </c>
      <c r="B15" s="25" t="s">
        <v>235</v>
      </c>
      <c r="C15" s="25" t="s">
        <v>88</v>
      </c>
      <c r="D15" s="32" t="s">
        <v>231</v>
      </c>
      <c r="E15" s="25" t="s">
        <v>230</v>
      </c>
      <c r="F15" s="4">
        <v>5</v>
      </c>
      <c r="G15" s="67">
        <v>0.1</v>
      </c>
      <c r="H15" s="26">
        <f t="shared" si="0"/>
        <v>0.5</v>
      </c>
      <c r="I15" s="72">
        <v>2.1000000000000001E-2</v>
      </c>
      <c r="J15" s="20">
        <f t="shared" si="1"/>
        <v>1.05</v>
      </c>
      <c r="K15" s="72">
        <v>1.52E-2</v>
      </c>
      <c r="L15" s="20">
        <f t="shared" si="2"/>
        <v>1.9</v>
      </c>
      <c r="M15" s="2" t="s">
        <v>43</v>
      </c>
      <c r="N15" s="3" t="s">
        <v>232</v>
      </c>
      <c r="O15" s="32" t="s">
        <v>86</v>
      </c>
      <c r="P15" s="19" t="s">
        <v>233</v>
      </c>
      <c r="Q15" s="4"/>
    </row>
    <row r="16" spans="1:17" x14ac:dyDescent="0.2">
      <c r="A16" s="2" t="s">
        <v>59</v>
      </c>
      <c r="B16" s="25" t="s">
        <v>141</v>
      </c>
      <c r="C16" s="25" t="s">
        <v>88</v>
      </c>
      <c r="D16" s="32" t="s">
        <v>142</v>
      </c>
      <c r="E16" s="25" t="s">
        <v>143</v>
      </c>
      <c r="F16" s="4">
        <v>2</v>
      </c>
      <c r="G16" s="67">
        <v>0.1</v>
      </c>
      <c r="H16" s="26">
        <f t="shared" si="0"/>
        <v>0.2</v>
      </c>
      <c r="I16" s="72">
        <v>2.1000000000000001E-2</v>
      </c>
      <c r="J16" s="20">
        <f t="shared" si="1"/>
        <v>0.42000000000000004</v>
      </c>
      <c r="K16" s="72">
        <v>1.52E-2</v>
      </c>
      <c r="L16" s="20">
        <f t="shared" si="2"/>
        <v>0.76</v>
      </c>
      <c r="M16" s="2" t="s">
        <v>43</v>
      </c>
      <c r="N16" s="3" t="s">
        <v>144</v>
      </c>
      <c r="O16" s="32" t="s">
        <v>86</v>
      </c>
      <c r="P16" s="19" t="s">
        <v>145</v>
      </c>
      <c r="Q16" s="4"/>
    </row>
    <row r="17" spans="1:17" x14ac:dyDescent="0.2">
      <c r="A17" s="2" t="s">
        <v>59</v>
      </c>
      <c r="B17" s="25" t="s">
        <v>236</v>
      </c>
      <c r="C17" s="25" t="s">
        <v>102</v>
      </c>
      <c r="D17" s="32" t="s">
        <v>137</v>
      </c>
      <c r="E17" s="25" t="s">
        <v>138</v>
      </c>
      <c r="F17" s="4">
        <v>5</v>
      </c>
      <c r="G17" s="67">
        <v>0.16</v>
      </c>
      <c r="H17" s="26">
        <f t="shared" si="0"/>
        <v>0.8</v>
      </c>
      <c r="I17" s="72">
        <v>0.14199999999999999</v>
      </c>
      <c r="J17" s="20">
        <f t="shared" si="1"/>
        <v>7.1</v>
      </c>
      <c r="K17" s="72">
        <f>I17</f>
        <v>0.14199999999999999</v>
      </c>
      <c r="L17" s="20">
        <f t="shared" si="2"/>
        <v>17.75</v>
      </c>
      <c r="M17" s="2" t="s">
        <v>43</v>
      </c>
      <c r="N17" s="3" t="s">
        <v>139</v>
      </c>
      <c r="O17" s="32" t="s">
        <v>106</v>
      </c>
      <c r="P17" s="19" t="s">
        <v>140</v>
      </c>
      <c r="Q17" s="4"/>
    </row>
    <row r="18" spans="1:17" x14ac:dyDescent="0.2">
      <c r="A18" s="2" t="s">
        <v>59</v>
      </c>
      <c r="B18" s="25" t="s">
        <v>172</v>
      </c>
      <c r="C18" s="25" t="s">
        <v>159</v>
      </c>
      <c r="D18" s="32" t="s">
        <v>160</v>
      </c>
      <c r="E18" s="25" t="s">
        <v>161</v>
      </c>
      <c r="F18" s="4">
        <v>1</v>
      </c>
      <c r="G18" s="67">
        <v>0.11</v>
      </c>
      <c r="H18" s="26">
        <f t="shared" si="0"/>
        <v>0.11</v>
      </c>
      <c r="I18" s="72">
        <v>8.7999999999999995E-2</v>
      </c>
      <c r="J18" s="20">
        <f t="shared" si="1"/>
        <v>0.87999999999999989</v>
      </c>
      <c r="K18" s="72">
        <f>I18</f>
        <v>8.7999999999999995E-2</v>
      </c>
      <c r="L18" s="20">
        <f t="shared" si="2"/>
        <v>2.1999999999999997</v>
      </c>
      <c r="M18" s="2" t="s">
        <v>43</v>
      </c>
      <c r="N18" s="3" t="s">
        <v>163</v>
      </c>
      <c r="O18" s="32" t="s">
        <v>86</v>
      </c>
      <c r="P18" s="19" t="s">
        <v>162</v>
      </c>
      <c r="Q18" s="4"/>
    </row>
    <row r="19" spans="1:17" x14ac:dyDescent="0.2">
      <c r="A19" s="2" t="s">
        <v>59</v>
      </c>
      <c r="B19" s="25" t="s">
        <v>173</v>
      </c>
      <c r="C19" s="25" t="s">
        <v>174</v>
      </c>
      <c r="D19" s="32" t="s">
        <v>175</v>
      </c>
      <c r="E19" s="25" t="s">
        <v>176</v>
      </c>
      <c r="F19" s="4">
        <v>1</v>
      </c>
      <c r="G19" s="67">
        <v>0.1</v>
      </c>
      <c r="H19" s="26">
        <f t="shared" si="0"/>
        <v>0.1</v>
      </c>
      <c r="I19" s="72">
        <v>7.2999999999999995E-2</v>
      </c>
      <c r="J19" s="20">
        <f t="shared" si="1"/>
        <v>0.73</v>
      </c>
      <c r="K19" s="72">
        <v>5.28E-2</v>
      </c>
      <c r="L19" s="20">
        <f t="shared" si="2"/>
        <v>1.32</v>
      </c>
      <c r="M19" s="2" t="s">
        <v>43</v>
      </c>
      <c r="N19" s="3" t="s">
        <v>177</v>
      </c>
      <c r="O19" s="32" t="s">
        <v>86</v>
      </c>
      <c r="P19" s="19" t="s">
        <v>178</v>
      </c>
      <c r="Q19" s="4"/>
    </row>
    <row r="20" spans="1:17" x14ac:dyDescent="0.2">
      <c r="A20" s="2" t="s">
        <v>59</v>
      </c>
      <c r="B20" s="25" t="s">
        <v>164</v>
      </c>
      <c r="C20" s="25" t="s">
        <v>119</v>
      </c>
      <c r="D20" s="32" t="s">
        <v>165</v>
      </c>
      <c r="E20" s="25" t="s">
        <v>166</v>
      </c>
      <c r="F20" s="4">
        <v>1</v>
      </c>
      <c r="G20" s="67">
        <v>5.65</v>
      </c>
      <c r="H20" s="26">
        <f t="shared" si="0"/>
        <v>5.65</v>
      </c>
      <c r="I20" s="72">
        <v>5.0720000000000001</v>
      </c>
      <c r="J20" s="20">
        <f t="shared" si="1"/>
        <v>50.72</v>
      </c>
      <c r="K20" s="72">
        <f>I20</f>
        <v>5.0720000000000001</v>
      </c>
      <c r="L20" s="20">
        <f t="shared" si="2"/>
        <v>126.8</v>
      </c>
      <c r="M20" s="2" t="s">
        <v>43</v>
      </c>
      <c r="N20" s="3" t="s">
        <v>167</v>
      </c>
      <c r="O20" s="32" t="s">
        <v>168</v>
      </c>
      <c r="P20" s="19" t="s">
        <v>169</v>
      </c>
      <c r="Q20" s="4"/>
    </row>
    <row r="21" spans="1:17" x14ac:dyDescent="0.2">
      <c r="A21" s="2" t="s">
        <v>59</v>
      </c>
      <c r="B21" s="34" t="s">
        <v>108</v>
      </c>
      <c r="C21" s="34" t="s">
        <v>109</v>
      </c>
      <c r="D21" s="53" t="s">
        <v>110</v>
      </c>
      <c r="E21" s="25" t="s">
        <v>22</v>
      </c>
      <c r="F21" s="4">
        <v>1</v>
      </c>
      <c r="G21" s="67">
        <v>0.56000000000000005</v>
      </c>
      <c r="H21" s="26">
        <f t="shared" si="0"/>
        <v>0.56000000000000005</v>
      </c>
      <c r="I21" s="72">
        <v>0.54200000000000004</v>
      </c>
      <c r="J21" s="20">
        <f t="shared" si="1"/>
        <v>5.42</v>
      </c>
      <c r="K21" s="72">
        <v>0.53100000000000003</v>
      </c>
      <c r="L21" s="20">
        <f t="shared" si="2"/>
        <v>13.275</v>
      </c>
      <c r="M21" s="2" t="s">
        <v>15</v>
      </c>
      <c r="N21" s="3" t="s">
        <v>111</v>
      </c>
      <c r="O21" s="29" t="s">
        <v>112</v>
      </c>
      <c r="P21" s="19" t="s">
        <v>113</v>
      </c>
      <c r="Q21" s="4"/>
    </row>
    <row r="22" spans="1:17" x14ac:dyDescent="0.2">
      <c r="A22" s="2" t="s">
        <v>59</v>
      </c>
      <c r="B22" s="25" t="s">
        <v>49</v>
      </c>
      <c r="C22" s="25" t="s">
        <v>72</v>
      </c>
      <c r="D22" s="32" t="s">
        <v>198</v>
      </c>
      <c r="E22" s="25" t="s">
        <v>199</v>
      </c>
      <c r="F22" s="4">
        <v>1</v>
      </c>
      <c r="G22" s="67">
        <v>0.82</v>
      </c>
      <c r="H22" s="26">
        <f t="shared" si="0"/>
        <v>0.82</v>
      </c>
      <c r="I22" s="72">
        <v>0.64</v>
      </c>
      <c r="J22" s="20">
        <f t="shared" si="1"/>
        <v>6.4</v>
      </c>
      <c r="K22" s="72">
        <v>0.5968</v>
      </c>
      <c r="L22" s="20">
        <f t="shared" si="2"/>
        <v>14.92</v>
      </c>
      <c r="M22" s="2" t="s">
        <v>43</v>
      </c>
      <c r="N22" s="3" t="s">
        <v>200</v>
      </c>
      <c r="O22" s="29" t="s">
        <v>99</v>
      </c>
      <c r="P22" s="19" t="s">
        <v>201</v>
      </c>
      <c r="Q22" s="4" t="s">
        <v>202</v>
      </c>
    </row>
    <row r="23" spans="1:17" x14ac:dyDescent="0.2">
      <c r="A23" s="2" t="s">
        <v>59</v>
      </c>
      <c r="B23" s="25" t="s">
        <v>50</v>
      </c>
      <c r="C23" s="25" t="s">
        <v>72</v>
      </c>
      <c r="D23" s="32" t="s">
        <v>203</v>
      </c>
      <c r="E23" s="25" t="s">
        <v>204</v>
      </c>
      <c r="F23" s="4">
        <v>1</v>
      </c>
      <c r="G23" s="67">
        <v>0.65</v>
      </c>
      <c r="H23" s="26">
        <f t="shared" si="0"/>
        <v>0.65</v>
      </c>
      <c r="I23" s="72">
        <v>0.502</v>
      </c>
      <c r="J23" s="20">
        <f t="shared" si="1"/>
        <v>5.0199999999999996</v>
      </c>
      <c r="K23" s="72">
        <v>0.46760000000000002</v>
      </c>
      <c r="L23" s="20">
        <f t="shared" si="2"/>
        <v>11.690000000000001</v>
      </c>
      <c r="M23" s="2" t="s">
        <v>43</v>
      </c>
      <c r="N23" s="3" t="s">
        <v>205</v>
      </c>
      <c r="O23" s="29" t="s">
        <v>99</v>
      </c>
      <c r="P23" s="19" t="s">
        <v>206</v>
      </c>
      <c r="Q23" s="4" t="s">
        <v>202</v>
      </c>
    </row>
    <row r="24" spans="1:17" x14ac:dyDescent="0.2">
      <c r="A24" s="2" t="s">
        <v>59</v>
      </c>
      <c r="B24" s="25" t="s">
        <v>51</v>
      </c>
      <c r="C24" s="25" t="s">
        <v>72</v>
      </c>
      <c r="D24" s="32" t="s">
        <v>207</v>
      </c>
      <c r="E24" s="25" t="s">
        <v>208</v>
      </c>
      <c r="F24" s="4">
        <v>1</v>
      </c>
      <c r="G24" s="67">
        <v>0.7</v>
      </c>
      <c r="H24" s="26">
        <f t="shared" si="0"/>
        <v>0.7</v>
      </c>
      <c r="I24" s="72">
        <v>0.54600000000000004</v>
      </c>
      <c r="J24" s="20">
        <f t="shared" si="1"/>
        <v>5.4600000000000009</v>
      </c>
      <c r="K24" s="72">
        <v>0.50880000000000003</v>
      </c>
      <c r="L24" s="20">
        <f t="shared" si="2"/>
        <v>12.72</v>
      </c>
      <c r="M24" s="2" t="s">
        <v>43</v>
      </c>
      <c r="N24" s="3" t="s">
        <v>209</v>
      </c>
      <c r="O24" s="29" t="s">
        <v>99</v>
      </c>
      <c r="P24" s="19" t="s">
        <v>210</v>
      </c>
      <c r="Q24" s="4" t="s">
        <v>202</v>
      </c>
    </row>
    <row r="25" spans="1:17" x14ac:dyDescent="0.2">
      <c r="A25" s="2" t="s">
        <v>59</v>
      </c>
      <c r="B25" s="25" t="s">
        <v>52</v>
      </c>
      <c r="C25" s="25" t="s">
        <v>72</v>
      </c>
      <c r="D25" s="32" t="s">
        <v>211</v>
      </c>
      <c r="E25" s="25" t="s">
        <v>212</v>
      </c>
      <c r="F25" s="4">
        <v>2</v>
      </c>
      <c r="G25" s="67">
        <v>0.89</v>
      </c>
      <c r="H25" s="26">
        <f t="shared" si="0"/>
        <v>1.78</v>
      </c>
      <c r="I25" s="72">
        <v>0.69</v>
      </c>
      <c r="J25" s="20">
        <f t="shared" si="1"/>
        <v>13.799999999999999</v>
      </c>
      <c r="K25" s="72">
        <v>0.64359999999999995</v>
      </c>
      <c r="L25" s="20">
        <f t="shared" si="2"/>
        <v>32.18</v>
      </c>
      <c r="M25" s="2" t="s">
        <v>43</v>
      </c>
      <c r="N25" s="3" t="s">
        <v>213</v>
      </c>
      <c r="O25" s="29" t="s">
        <v>99</v>
      </c>
      <c r="P25" s="19" t="s">
        <v>214</v>
      </c>
      <c r="Q25" s="4" t="s">
        <v>202</v>
      </c>
    </row>
    <row r="26" spans="1:17" x14ac:dyDescent="0.2">
      <c r="A26" s="2" t="s">
        <v>59</v>
      </c>
      <c r="B26" s="25" t="s">
        <v>53</v>
      </c>
      <c r="C26" s="25" t="s">
        <v>72</v>
      </c>
      <c r="D26" s="32" t="s">
        <v>215</v>
      </c>
      <c r="E26" s="25" t="s">
        <v>216</v>
      </c>
      <c r="F26" s="4">
        <v>1</v>
      </c>
      <c r="G26" s="67">
        <v>0.84</v>
      </c>
      <c r="H26" s="26">
        <f t="shared" si="0"/>
        <v>0.84</v>
      </c>
      <c r="I26" s="72">
        <v>0.69899999999999995</v>
      </c>
      <c r="J26" s="20">
        <f t="shared" si="1"/>
        <v>6.9899999999999993</v>
      </c>
      <c r="K26" s="72">
        <v>0.64759999999999995</v>
      </c>
      <c r="L26" s="20">
        <f t="shared" si="2"/>
        <v>16.189999999999998</v>
      </c>
      <c r="M26" s="2" t="s">
        <v>43</v>
      </c>
      <c r="N26" s="3" t="s">
        <v>217</v>
      </c>
      <c r="O26" s="29" t="s">
        <v>99</v>
      </c>
      <c r="P26" s="19" t="s">
        <v>218</v>
      </c>
      <c r="Q26" s="4" t="s">
        <v>202</v>
      </c>
    </row>
    <row r="27" spans="1:17" x14ac:dyDescent="0.2">
      <c r="A27" s="54" t="s">
        <v>101</v>
      </c>
      <c r="B27" s="55" t="s">
        <v>179</v>
      </c>
      <c r="C27" s="55"/>
      <c r="D27" s="56"/>
      <c r="E27" s="55" t="s">
        <v>180</v>
      </c>
      <c r="F27" s="57">
        <v>1</v>
      </c>
      <c r="G27" s="68"/>
      <c r="H27" s="58">
        <f t="shared" si="0"/>
        <v>0</v>
      </c>
      <c r="I27" s="73"/>
      <c r="J27" s="59">
        <f t="shared" si="1"/>
        <v>0</v>
      </c>
      <c r="K27" s="73"/>
      <c r="L27" s="59">
        <f t="shared" si="2"/>
        <v>0</v>
      </c>
      <c r="M27" s="54"/>
      <c r="N27" s="55"/>
      <c r="O27" s="56" t="s">
        <v>99</v>
      </c>
      <c r="P27" s="60"/>
      <c r="Q27" s="57" t="s">
        <v>100</v>
      </c>
    </row>
    <row r="28" spans="1:17" x14ac:dyDescent="0.2">
      <c r="A28" s="54" t="s">
        <v>101</v>
      </c>
      <c r="B28" s="55" t="s">
        <v>125</v>
      </c>
      <c r="C28" s="55"/>
      <c r="D28" s="56"/>
      <c r="E28" s="55" t="s">
        <v>126</v>
      </c>
      <c r="F28" s="57">
        <v>1</v>
      </c>
      <c r="G28" s="68"/>
      <c r="H28" s="58">
        <f t="shared" si="0"/>
        <v>0</v>
      </c>
      <c r="I28" s="73"/>
      <c r="J28" s="59">
        <f t="shared" si="1"/>
        <v>0</v>
      </c>
      <c r="K28" s="73"/>
      <c r="L28" s="59">
        <f t="shared" si="2"/>
        <v>0</v>
      </c>
      <c r="M28" s="54"/>
      <c r="N28" s="55"/>
      <c r="O28" s="56" t="s">
        <v>99</v>
      </c>
      <c r="P28" s="60"/>
      <c r="Q28" s="57" t="s">
        <v>100</v>
      </c>
    </row>
    <row r="29" spans="1:17" x14ac:dyDescent="0.2">
      <c r="A29" s="2" t="s">
        <v>59</v>
      </c>
      <c r="B29" s="25" t="s">
        <v>229</v>
      </c>
      <c r="C29" s="25" t="s">
        <v>102</v>
      </c>
      <c r="D29" s="32" t="s">
        <v>103</v>
      </c>
      <c r="E29" s="25" t="s">
        <v>104</v>
      </c>
      <c r="F29" s="4">
        <v>5</v>
      </c>
      <c r="G29" s="67">
        <v>0.22</v>
      </c>
      <c r="H29" s="26">
        <f t="shared" si="0"/>
        <v>1.1000000000000001</v>
      </c>
      <c r="I29" s="72">
        <v>0.17799999999999999</v>
      </c>
      <c r="J29" s="20">
        <f t="shared" si="1"/>
        <v>8.8999999999999986</v>
      </c>
      <c r="K29" s="72">
        <f>I29</f>
        <v>0.17799999999999999</v>
      </c>
      <c r="L29" s="20">
        <f t="shared" si="2"/>
        <v>22.249999999999996</v>
      </c>
      <c r="M29" s="2" t="s">
        <v>43</v>
      </c>
      <c r="N29" s="3" t="s">
        <v>105</v>
      </c>
      <c r="O29" s="29" t="s">
        <v>106</v>
      </c>
      <c r="P29" s="19" t="s">
        <v>107</v>
      </c>
      <c r="Q29" s="4"/>
    </row>
    <row r="30" spans="1:17" x14ac:dyDescent="0.2">
      <c r="A30" s="2" t="s">
        <v>59</v>
      </c>
      <c r="B30" s="25" t="s">
        <v>136</v>
      </c>
      <c r="C30" s="25" t="s">
        <v>88</v>
      </c>
      <c r="D30" s="32" t="s">
        <v>114</v>
      </c>
      <c r="E30" s="25" t="s">
        <v>115</v>
      </c>
      <c r="F30" s="4">
        <v>3</v>
      </c>
      <c r="G30" s="67">
        <v>0.1</v>
      </c>
      <c r="H30" s="26">
        <f t="shared" si="0"/>
        <v>0.30000000000000004</v>
      </c>
      <c r="I30" s="72">
        <v>5.0999999999999997E-2</v>
      </c>
      <c r="J30" s="20">
        <f t="shared" si="1"/>
        <v>1.53</v>
      </c>
      <c r="K30" s="72">
        <v>3.56E-2</v>
      </c>
      <c r="L30" s="20">
        <f t="shared" si="2"/>
        <v>2.67</v>
      </c>
      <c r="M30" s="2" t="s">
        <v>43</v>
      </c>
      <c r="N30" s="3" t="s">
        <v>116</v>
      </c>
      <c r="O30" s="29" t="s">
        <v>86</v>
      </c>
      <c r="P30" s="19" t="s">
        <v>117</v>
      </c>
      <c r="Q30" s="4"/>
    </row>
    <row r="31" spans="1:17" x14ac:dyDescent="0.2">
      <c r="A31" s="2" t="s">
        <v>59</v>
      </c>
      <c r="B31" s="25" t="s">
        <v>118</v>
      </c>
      <c r="C31" s="25" t="s">
        <v>119</v>
      </c>
      <c r="D31" s="32" t="s">
        <v>120</v>
      </c>
      <c r="E31" s="25" t="s">
        <v>121</v>
      </c>
      <c r="F31" s="4">
        <v>1</v>
      </c>
      <c r="G31" s="67">
        <v>1.61</v>
      </c>
      <c r="H31" s="26">
        <f t="shared" si="0"/>
        <v>1.61</v>
      </c>
      <c r="I31" s="72">
        <v>1.37</v>
      </c>
      <c r="J31" s="20">
        <f t="shared" si="1"/>
        <v>13.700000000000001</v>
      </c>
      <c r="K31" s="72">
        <f>I31</f>
        <v>1.37</v>
      </c>
      <c r="L31" s="20">
        <f t="shared" si="2"/>
        <v>34.25</v>
      </c>
      <c r="M31" s="2" t="s">
        <v>15</v>
      </c>
      <c r="N31" s="3" t="s">
        <v>122</v>
      </c>
      <c r="O31" s="29" t="s">
        <v>123</v>
      </c>
      <c r="P31" s="19" t="s">
        <v>124</v>
      </c>
      <c r="Q31" s="4"/>
    </row>
    <row r="32" spans="1:17" x14ac:dyDescent="0.2">
      <c r="A32" s="54" t="s">
        <v>101</v>
      </c>
      <c r="B32" s="55" t="s">
        <v>127</v>
      </c>
      <c r="C32" s="55"/>
      <c r="D32" s="56"/>
      <c r="E32" s="55" t="s">
        <v>128</v>
      </c>
      <c r="F32" s="57">
        <v>1</v>
      </c>
      <c r="G32" s="68"/>
      <c r="H32" s="58">
        <f t="shared" si="0"/>
        <v>0</v>
      </c>
      <c r="I32" s="73"/>
      <c r="J32" s="59">
        <f t="shared" si="1"/>
        <v>0</v>
      </c>
      <c r="K32" s="73"/>
      <c r="L32" s="59">
        <f t="shared" si="2"/>
        <v>0</v>
      </c>
      <c r="M32" s="54"/>
      <c r="N32" s="55"/>
      <c r="O32" s="56"/>
      <c r="P32" s="57"/>
      <c r="Q32" s="57" t="s">
        <v>129</v>
      </c>
    </row>
    <row r="33" spans="1:17" s="65" customFormat="1" x14ac:dyDescent="0.2">
      <c r="A33" s="61" t="s">
        <v>59</v>
      </c>
      <c r="B33" s="25" t="s">
        <v>130</v>
      </c>
      <c r="C33" s="25" t="s">
        <v>131</v>
      </c>
      <c r="D33" s="32" t="s">
        <v>98</v>
      </c>
      <c r="E33" s="25" t="s">
        <v>132</v>
      </c>
      <c r="F33" s="62">
        <v>1</v>
      </c>
      <c r="G33" s="69">
        <v>2.2799999999999998</v>
      </c>
      <c r="H33" s="63">
        <f t="shared" si="0"/>
        <v>2.2799999999999998</v>
      </c>
      <c r="I33" s="74">
        <v>2.08</v>
      </c>
      <c r="J33" s="64">
        <f t="shared" si="1"/>
        <v>20.8</v>
      </c>
      <c r="K33" s="74">
        <v>1.92</v>
      </c>
      <c r="L33" s="64">
        <f t="shared" si="2"/>
        <v>48</v>
      </c>
      <c r="M33" s="61" t="s">
        <v>15</v>
      </c>
      <c r="N33" s="25" t="s">
        <v>133</v>
      </c>
      <c r="O33" s="32" t="s">
        <v>134</v>
      </c>
      <c r="P33" s="76" t="s">
        <v>135</v>
      </c>
      <c r="Q33" s="62"/>
    </row>
    <row r="34" spans="1:17" x14ac:dyDescent="0.2">
      <c r="A34" s="2" t="s">
        <v>59</v>
      </c>
      <c r="B34" s="25" t="s">
        <v>234</v>
      </c>
      <c r="C34" s="25" t="s">
        <v>223</v>
      </c>
      <c r="D34" s="29" t="s">
        <v>224</v>
      </c>
      <c r="E34" s="25" t="s">
        <v>225</v>
      </c>
      <c r="F34" s="4">
        <v>2</v>
      </c>
      <c r="G34" s="67">
        <v>0.4</v>
      </c>
      <c r="H34" s="26">
        <f t="shared" si="0"/>
        <v>0.8</v>
      </c>
      <c r="I34" s="72">
        <v>0.31</v>
      </c>
      <c r="J34" s="20">
        <f t="shared" si="1"/>
        <v>6.2</v>
      </c>
      <c r="K34" s="72">
        <v>0.26119999999999999</v>
      </c>
      <c r="L34" s="20">
        <f t="shared" si="2"/>
        <v>13.059999999999999</v>
      </c>
      <c r="M34" s="2" t="s">
        <v>43</v>
      </c>
      <c r="N34" s="3" t="s">
        <v>226</v>
      </c>
      <c r="O34" s="29" t="s">
        <v>227</v>
      </c>
      <c r="P34" s="19" t="s">
        <v>228</v>
      </c>
      <c r="Q34" s="4"/>
    </row>
    <row r="35" spans="1:17" x14ac:dyDescent="0.2">
      <c r="A35" s="2" t="s">
        <v>59</v>
      </c>
      <c r="B35" s="25" t="s">
        <v>237</v>
      </c>
      <c r="C35" s="25" t="s">
        <v>88</v>
      </c>
      <c r="D35" s="29" t="s">
        <v>238</v>
      </c>
      <c r="E35" s="25" t="s">
        <v>239</v>
      </c>
      <c r="F35" s="4">
        <v>2</v>
      </c>
      <c r="G35" s="67">
        <v>0.1</v>
      </c>
      <c r="H35" s="26">
        <f t="shared" si="0"/>
        <v>0.2</v>
      </c>
      <c r="I35" s="72">
        <v>2.1000000000000001E-2</v>
      </c>
      <c r="J35" s="20">
        <f t="shared" si="1"/>
        <v>0.42000000000000004</v>
      </c>
      <c r="K35" s="72">
        <v>1.52E-2</v>
      </c>
      <c r="L35" s="20">
        <f t="shared" si="2"/>
        <v>0.76</v>
      </c>
      <c r="M35" s="2" t="s">
        <v>43</v>
      </c>
      <c r="N35" s="3" t="s">
        <v>240</v>
      </c>
      <c r="O35" s="29" t="s">
        <v>86</v>
      </c>
      <c r="P35" s="19" t="s">
        <v>241</v>
      </c>
      <c r="Q35" s="4"/>
    </row>
    <row r="36" spans="1:17" x14ac:dyDescent="0.2">
      <c r="A36" s="2" t="s">
        <v>59</v>
      </c>
      <c r="B36" s="25" t="s">
        <v>242</v>
      </c>
      <c r="C36" s="25" t="s">
        <v>244</v>
      </c>
      <c r="D36" s="29" t="s">
        <v>245</v>
      </c>
      <c r="E36" s="25" t="s">
        <v>246</v>
      </c>
      <c r="F36" s="4">
        <v>1</v>
      </c>
      <c r="G36" s="67">
        <v>0.1</v>
      </c>
      <c r="H36" s="26">
        <f t="shared" si="0"/>
        <v>0.1</v>
      </c>
      <c r="I36" s="72">
        <v>0.04</v>
      </c>
      <c r="J36" s="20">
        <f t="shared" si="1"/>
        <v>0.4</v>
      </c>
      <c r="K36" s="72">
        <v>2.8799999999999999E-2</v>
      </c>
      <c r="L36" s="20">
        <f t="shared" si="2"/>
        <v>0.72</v>
      </c>
      <c r="M36" s="2" t="s">
        <v>43</v>
      </c>
      <c r="N36" s="3" t="s">
        <v>247</v>
      </c>
      <c r="O36" s="29" t="s">
        <v>86</v>
      </c>
      <c r="P36" s="19" t="s">
        <v>248</v>
      </c>
      <c r="Q36" s="4"/>
    </row>
    <row r="37" spans="1:17" ht="17" thickBot="1" x14ac:dyDescent="0.25">
      <c r="A37" s="5" t="s">
        <v>59</v>
      </c>
      <c r="B37" s="6" t="s">
        <v>243</v>
      </c>
      <c r="C37" s="6" t="s">
        <v>88</v>
      </c>
      <c r="D37" s="33" t="s">
        <v>249</v>
      </c>
      <c r="E37" s="6" t="s">
        <v>251</v>
      </c>
      <c r="F37" s="7">
        <v>1</v>
      </c>
      <c r="G37" s="70">
        <v>0.1</v>
      </c>
      <c r="H37" s="15">
        <f t="shared" si="0"/>
        <v>0.1</v>
      </c>
      <c r="I37" s="75">
        <v>2.1000000000000001E-2</v>
      </c>
      <c r="J37" s="22">
        <f t="shared" si="1"/>
        <v>0.21000000000000002</v>
      </c>
      <c r="K37" s="75">
        <v>1.52E-2</v>
      </c>
      <c r="L37" s="22">
        <f t="shared" si="2"/>
        <v>0.38</v>
      </c>
      <c r="M37" s="5" t="s">
        <v>43</v>
      </c>
      <c r="N37" s="6" t="s">
        <v>250</v>
      </c>
      <c r="O37" s="33" t="s">
        <v>86</v>
      </c>
      <c r="P37" s="77" t="s">
        <v>252</v>
      </c>
      <c r="Q37" s="7"/>
    </row>
    <row r="38" spans="1:17" x14ac:dyDescent="0.2">
      <c r="E38" s="25" t="s">
        <v>253</v>
      </c>
      <c r="F38">
        <f>SUM(F4:F37)</f>
        <v>80</v>
      </c>
      <c r="G38" s="24" t="s">
        <v>170</v>
      </c>
      <c r="H38" s="24">
        <f>SUM(H4:H37)</f>
        <v>48.02000000000001</v>
      </c>
      <c r="I38" s="24" t="s">
        <v>170</v>
      </c>
      <c r="J38" s="24">
        <f>SUM(J4:J37)</f>
        <v>416.58999999999992</v>
      </c>
      <c r="K38" s="24" t="s">
        <v>170</v>
      </c>
      <c r="L38" s="24">
        <f>SUM(L4:L37)</f>
        <v>936.37999999999988</v>
      </c>
    </row>
    <row r="39" spans="1:17" x14ac:dyDescent="0.2">
      <c r="E39" s="25" t="s">
        <v>254</v>
      </c>
      <c r="F39">
        <f>SUM(F4:F6,F21,F22:F26)</f>
        <v>25</v>
      </c>
      <c r="G39" t="s">
        <v>1</v>
      </c>
      <c r="H39" s="24">
        <f>H38</f>
        <v>48.02000000000001</v>
      </c>
      <c r="I39" t="s">
        <v>1</v>
      </c>
      <c r="J39" s="35">
        <f>J38/10</f>
        <v>41.658999999999992</v>
      </c>
      <c r="K39" t="s">
        <v>1</v>
      </c>
      <c r="L39" s="35">
        <f>L38/25</f>
        <v>37.455199999999998</v>
      </c>
    </row>
  </sheetData>
  <mergeCells count="7">
    <mergeCell ref="Q2:Q3"/>
    <mergeCell ref="M2:P2"/>
    <mergeCell ref="A1:B1"/>
    <mergeCell ref="G2:H2"/>
    <mergeCell ref="A2:E2"/>
    <mergeCell ref="I2:J2"/>
    <mergeCell ref="K2:L2"/>
  </mergeCells>
  <hyperlinks>
    <hyperlink ref="P33" r:id="rId1"/>
    <hyperlink ref="P34" r:id="rId2"/>
    <hyperlink ref="P35" r:id="rId3"/>
    <hyperlink ref="P37" r:id="rId4"/>
  </hyperlink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I8" sqref="I8"/>
    </sheetView>
  </sheetViews>
  <sheetFormatPr baseColWidth="10" defaultRowHeight="16" x14ac:dyDescent="0.2"/>
  <cols>
    <col min="1" max="1" width="16" bestFit="1" customWidth="1"/>
    <col min="2" max="2" width="12" style="78" bestFit="1" customWidth="1"/>
    <col min="3" max="3" width="16.1640625" bestFit="1" customWidth="1"/>
    <col min="4" max="4" width="15" bestFit="1" customWidth="1"/>
    <col min="5" max="5" width="8.33203125" bestFit="1" customWidth="1"/>
    <col min="6" max="6" width="11.5" style="85" bestFit="1" customWidth="1"/>
    <col min="7" max="7" width="52.83203125" style="82" bestFit="1" customWidth="1"/>
    <col min="8" max="8" width="10.33203125" style="82" bestFit="1" customWidth="1"/>
    <col min="9" max="9" width="118.1640625" bestFit="1" customWidth="1"/>
  </cols>
  <sheetData>
    <row r="2" spans="1:9" ht="17" thickBot="1" x14ac:dyDescent="0.25">
      <c r="A2" s="79" t="s">
        <v>255</v>
      </c>
      <c r="B2" s="84" t="s">
        <v>256</v>
      </c>
      <c r="C2" s="79" t="s">
        <v>257</v>
      </c>
      <c r="D2" s="79" t="s">
        <v>262</v>
      </c>
      <c r="E2" s="79" t="s">
        <v>258</v>
      </c>
      <c r="F2" s="86" t="s">
        <v>261</v>
      </c>
      <c r="G2" s="81" t="s">
        <v>274</v>
      </c>
      <c r="H2" s="83" t="s">
        <v>1</v>
      </c>
      <c r="I2" s="80" t="s">
        <v>27</v>
      </c>
    </row>
    <row r="3" spans="1:9" x14ac:dyDescent="0.2">
      <c r="A3" t="s">
        <v>259</v>
      </c>
      <c r="B3" s="78">
        <v>42607</v>
      </c>
      <c r="C3" t="s">
        <v>260</v>
      </c>
      <c r="D3" t="s">
        <v>263</v>
      </c>
      <c r="E3">
        <v>12</v>
      </c>
      <c r="F3" s="85">
        <v>1368.93</v>
      </c>
      <c r="G3" s="85">
        <f>F3+89.28+G7</f>
        <v>1700.71</v>
      </c>
      <c r="H3" s="82">
        <f>G3/E3</f>
        <v>141.72583333333333</v>
      </c>
      <c r="I3" t="s">
        <v>267</v>
      </c>
    </row>
    <row r="4" spans="1:9" x14ac:dyDescent="0.2">
      <c r="A4" t="s">
        <v>259</v>
      </c>
      <c r="B4" s="78">
        <v>42607</v>
      </c>
      <c r="C4" t="s">
        <v>260</v>
      </c>
      <c r="D4" t="s">
        <v>263</v>
      </c>
      <c r="E4">
        <v>20</v>
      </c>
      <c r="F4" s="85">
        <v>1902.4</v>
      </c>
      <c r="G4" s="85">
        <f>F4+148.8+G7*2</f>
        <v>2536.2000000000003</v>
      </c>
      <c r="H4" s="82">
        <f t="shared" ref="H4:H5" si="0">G4/E4</f>
        <v>126.81000000000002</v>
      </c>
      <c r="I4" t="s">
        <v>266</v>
      </c>
    </row>
    <row r="5" spans="1:9" x14ac:dyDescent="0.2">
      <c r="A5" t="s">
        <v>259</v>
      </c>
      <c r="B5" s="78">
        <v>42607</v>
      </c>
      <c r="C5" t="s">
        <v>260</v>
      </c>
      <c r="D5" t="s">
        <v>264</v>
      </c>
      <c r="E5">
        <v>12</v>
      </c>
      <c r="F5" s="85">
        <v>1720.43</v>
      </c>
      <c r="G5" s="85">
        <f>F5+89.28+F8*4</f>
        <v>2006.71</v>
      </c>
      <c r="H5" s="82">
        <f t="shared" si="0"/>
        <v>167.22583333333333</v>
      </c>
      <c r="I5" t="s">
        <v>265</v>
      </c>
    </row>
    <row r="6" spans="1:9" x14ac:dyDescent="0.2">
      <c r="A6" t="s">
        <v>259</v>
      </c>
      <c r="B6" s="78">
        <v>42611</v>
      </c>
      <c r="C6" t="s">
        <v>273</v>
      </c>
      <c r="D6" t="s">
        <v>277</v>
      </c>
      <c r="E6">
        <v>12</v>
      </c>
      <c r="F6" s="85">
        <v>2331.33</v>
      </c>
      <c r="G6" s="85">
        <f>F6+90.28</f>
        <v>2421.61</v>
      </c>
      <c r="H6" s="82">
        <f>G6/E6</f>
        <v>201.80083333333334</v>
      </c>
      <c r="I6" t="s">
        <v>278</v>
      </c>
    </row>
    <row r="7" spans="1:9" x14ac:dyDescent="0.2">
      <c r="A7" t="s">
        <v>268</v>
      </c>
      <c r="B7" s="78">
        <v>42612</v>
      </c>
      <c r="C7" t="s">
        <v>269</v>
      </c>
      <c r="D7" t="s">
        <v>270</v>
      </c>
      <c r="E7">
        <v>12</v>
      </c>
      <c r="F7" s="85">
        <v>242.5</v>
      </c>
      <c r="G7" s="85">
        <f>F7</f>
        <v>242.5</v>
      </c>
      <c r="H7" s="82">
        <f>G7/E7</f>
        <v>20.208333333333332</v>
      </c>
      <c r="I7" t="s">
        <v>279</v>
      </c>
    </row>
    <row r="8" spans="1:9" x14ac:dyDescent="0.2">
      <c r="A8" t="s">
        <v>268</v>
      </c>
      <c r="B8" s="78">
        <v>42607</v>
      </c>
      <c r="C8" t="s">
        <v>269</v>
      </c>
      <c r="D8" t="s">
        <v>270</v>
      </c>
      <c r="E8">
        <v>3</v>
      </c>
      <c r="F8" s="85">
        <v>49.25</v>
      </c>
      <c r="G8" s="85"/>
      <c r="H8" s="82">
        <f>F8/E8</f>
        <v>16.416666666666668</v>
      </c>
      <c r="I8" t="s">
        <v>271</v>
      </c>
    </row>
    <row r="9" spans="1:9" x14ac:dyDescent="0.2">
      <c r="A9" t="s">
        <v>272</v>
      </c>
      <c r="B9" s="78">
        <v>42611</v>
      </c>
      <c r="C9" t="s">
        <v>273</v>
      </c>
      <c r="D9" t="s">
        <v>275</v>
      </c>
      <c r="E9">
        <v>10</v>
      </c>
      <c r="F9" s="85">
        <v>2528.4899999999998</v>
      </c>
      <c r="G9" s="85">
        <f>F9</f>
        <v>2528.4899999999998</v>
      </c>
      <c r="H9" s="82">
        <f>G9/E9</f>
        <v>252.84899999999999</v>
      </c>
      <c r="I9" t="s">
        <v>276</v>
      </c>
    </row>
    <row r="10" spans="1:9" x14ac:dyDescent="0.2">
      <c r="A10" t="s">
        <v>272</v>
      </c>
      <c r="B10" s="78">
        <v>42611</v>
      </c>
      <c r="C10" t="s">
        <v>273</v>
      </c>
      <c r="D10" t="s">
        <v>275</v>
      </c>
      <c r="E10">
        <v>20</v>
      </c>
      <c r="F10" s="85">
        <v>3372.79</v>
      </c>
      <c r="G10" s="85">
        <f t="shared" ref="G10:G11" si="1">F10</f>
        <v>3372.79</v>
      </c>
      <c r="H10" s="82">
        <f t="shared" ref="H10:H11" si="2">G10/E10</f>
        <v>168.6395</v>
      </c>
      <c r="I10" t="s">
        <v>276</v>
      </c>
    </row>
    <row r="11" spans="1:9" x14ac:dyDescent="0.2">
      <c r="A11" t="s">
        <v>272</v>
      </c>
      <c r="B11" s="78">
        <v>42611</v>
      </c>
      <c r="C11" t="s">
        <v>273</v>
      </c>
      <c r="D11" t="s">
        <v>275</v>
      </c>
      <c r="E11">
        <v>25</v>
      </c>
      <c r="F11" s="85">
        <v>3826.44</v>
      </c>
      <c r="G11" s="85">
        <f t="shared" si="1"/>
        <v>3826.44</v>
      </c>
      <c r="H11" s="82">
        <f t="shared" si="2"/>
        <v>153.05760000000001</v>
      </c>
      <c r="I11" t="s">
        <v>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Device</vt:lpstr>
      <vt:lpstr>Shield Parts</vt:lpstr>
      <vt:lpstr>Current Quotes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Nipun Gunawardena</dc:creator>
  <cp:lastModifiedBy>Microsoft Office User</cp:lastModifiedBy>
  <dcterms:created xsi:type="dcterms:W3CDTF">2014-05-09T03:43:29Z</dcterms:created>
  <dcterms:modified xsi:type="dcterms:W3CDTF">2016-09-09T08:32:52Z</dcterms:modified>
</cp:coreProperties>
</file>