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omments1.xml" ContentType="application/vnd.openxmlformats-officedocument.spreadsheetml.comments+xml"/>
  <Override PartName="/xl/threadedComments/threadedComment1.xml" ContentType="application/vnd.ms-excel.threaded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ersons/person.xml" ContentType="application/vnd.ms-excel.person+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9"/>
  <workbookPr codeName="ThisWorkbook" hidePivotFieldList="1" defaultThemeVersion="166925"/>
  <mc:AlternateContent xmlns:mc="http://schemas.openxmlformats.org/markup-compatibility/2006">
    <mc:Choice Requires="x15">
      <x15ac:absPath xmlns:x15ac="http://schemas.microsoft.com/office/spreadsheetml/2010/11/ac" url="/Users/alexdengmbp21/Library/Mobile Documents/com~apple~CloudDocs/Doc_high_freq/📋excel_templates/"/>
    </mc:Choice>
  </mc:AlternateContent>
  <xr:revisionPtr revIDLastSave="0" documentId="13_ncr:1_{6BC9B4FB-AB8C-154D-AA7F-C49FDBCF51BD}" xr6:coauthVersionLast="47" xr6:coauthVersionMax="47" xr10:uidLastSave="{00000000-0000-0000-0000-000000000000}"/>
  <bookViews>
    <workbookView xWindow="20" yWindow="500" windowWidth="38400" windowHeight="21100" activeTab="1" xr2:uid="{00000000-000D-0000-FFFF-FFFF00000000}"/>
  </bookViews>
  <sheets>
    <sheet name="Cover" sheetId="6" state="hidden" r:id="rId1"/>
    <sheet name="Analysis" sheetId="4" r:id="rId2"/>
    <sheet name="Raw Data" sheetId="3" r:id="rId3"/>
  </sheets>
  <definedNames>
    <definedName name="ChartCOGS">Analysis!$E$93:OFFSET(Analysis!$E$93,0,COUNT(Analysis!$E$93:$T$93)-1)</definedName>
    <definedName name="ChartGrossMargin">Analysis!$E$91:OFFSET(Analysis!$E$91,0,COUNT(Analysis!$E$91:$T$91)-1)</definedName>
    <definedName name="ChartMarketing">Analysis!$E$95:OFFSET(Analysis!$E$95,0,COUNT(Analysis!$E$95:$T$95)-1)</definedName>
    <definedName name="ChartNet_Income">Analysis!$E$98:OFFSET(Analysis!$E$98,0,COUNT(Analysis!$E$98:$T$98)-1)</definedName>
    <definedName name="ChartRent">Analysis!$E$96:OFFSET(Analysis!$E$96,0,COUNT(Analysis!$E$96:$T$96)-1)</definedName>
    <definedName name="ChartRevenue">Analysis!$E$90:OFFSET(Analysis!$E$90,0,COUNT(Analysis!$E$90:$T$90)-1)</definedName>
    <definedName name="ChartSalaries">Analysis!$E$94:OFFSET(Analysis!$E$94,0,COUNT(Analysis!$E$94:$T$94)-1)</definedName>
    <definedName name="ChartTax">Analysis!$E$97:OFFSET(Analysis!$E$97,0,COUNT(Analysis!$E$97:$T$97)-1)</definedName>
    <definedName name="CIQWBGuid" hidden="1">"3a76856e-063b-4329-b2c5-ae285df6792b"</definedName>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41887.7188541667</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75" i="4" l="1"/>
  <c r="G74" i="4"/>
  <c r="G73" i="4"/>
  <c r="F75" i="4"/>
  <c r="F74" i="4"/>
  <c r="F73" i="4"/>
  <c r="E75" i="4"/>
  <c r="E74" i="4"/>
  <c r="E73" i="4"/>
  <c r="T8" i="4"/>
  <c r="S8" i="4"/>
  <c r="R8" i="4"/>
  <c r="Q8" i="4"/>
  <c r="P8" i="4"/>
  <c r="O8" i="4"/>
  <c r="E63" i="4"/>
  <c r="E28" i="4"/>
  <c r="J74" i="4"/>
  <c r="E51" i="4"/>
  <c r="E37" i="4"/>
  <c r="E36" i="4"/>
  <c r="E35" i="4"/>
  <c r="E33" i="4"/>
  <c r="E22" i="4"/>
  <c r="E23" i="4"/>
  <c r="E21" i="4"/>
  <c r="E19" i="4"/>
  <c r="E52" i="4" l="1"/>
  <c r="F52" i="4" s="1"/>
  <c r="F54" i="4"/>
  <c r="G54" i="4"/>
  <c r="H54" i="4"/>
  <c r="I54" i="4"/>
  <c r="J54" i="4"/>
  <c r="K54" i="4"/>
  <c r="E54" i="4"/>
  <c r="E55" i="4" s="1"/>
  <c r="F53" i="4"/>
  <c r="G53" i="4"/>
  <c r="H53" i="4"/>
  <c r="I53" i="4"/>
  <c r="J53" i="4"/>
  <c r="K53" i="4"/>
  <c r="E53" i="4"/>
  <c r="E8" i="4"/>
  <c r="E3" i="4"/>
  <c r="E15" i="4"/>
  <c r="E16" i="4" s="1"/>
  <c r="E14" i="4"/>
  <c r="E13" i="4"/>
  <c r="A17" i="3"/>
  <c r="A18" i="3" s="1"/>
  <c r="A19" i="3" s="1"/>
  <c r="A20" i="3" s="1"/>
  <c r="A21" i="3" s="1"/>
  <c r="A22" i="3" s="1"/>
  <c r="A23" i="3" s="1"/>
  <c r="A24" i="3" s="1"/>
  <c r="A25" i="3" s="1"/>
  <c r="A26" i="3" s="1"/>
  <c r="A27" i="3" s="1"/>
  <c r="A28" i="3" s="1"/>
  <c r="A29" i="3" s="1"/>
  <c r="A16" i="3"/>
  <c r="P28" i="4" l="1"/>
  <c r="P63" i="4" s="1"/>
  <c r="S28" i="4"/>
  <c r="S63" i="4" s="1"/>
  <c r="R28" i="4"/>
  <c r="R63" i="4" s="1"/>
  <c r="Q28" i="4"/>
  <c r="Q63" i="4" s="1"/>
  <c r="O28" i="4"/>
  <c r="O63" i="4" s="1"/>
  <c r="T28" i="4"/>
  <c r="T63" i="4" s="1"/>
  <c r="F7" i="4"/>
  <c r="F28" i="4" s="1"/>
  <c r="T40" i="4"/>
  <c r="S40" i="4"/>
  <c r="S38" i="4"/>
  <c r="P38" i="4"/>
  <c r="T39" i="4"/>
  <c r="O38" i="4"/>
  <c r="P39" i="4"/>
  <c r="R40" i="4"/>
  <c r="R38" i="4"/>
  <c r="Q38" i="4"/>
  <c r="T38" i="4"/>
  <c r="Q40" i="4"/>
  <c r="P40" i="4"/>
  <c r="O40" i="4"/>
  <c r="S39" i="4"/>
  <c r="R39" i="4"/>
  <c r="Q39" i="4"/>
  <c r="O39" i="4"/>
  <c r="F55" i="4"/>
  <c r="G55" i="4" s="1"/>
  <c r="H55" i="4" s="1"/>
  <c r="I55" i="4" s="1"/>
  <c r="J55" i="4" s="1"/>
  <c r="K55" i="4" s="1"/>
  <c r="G52" i="4"/>
  <c r="H52" i="4" s="1"/>
  <c r="I52" i="4" s="1"/>
  <c r="J52" i="4" s="1"/>
  <c r="K52" i="4" s="1"/>
  <c r="F51" i="4"/>
  <c r="E18" i="4"/>
  <c r="E20" i="4" s="1"/>
  <c r="E32" i="4"/>
  <c r="E34" i="4" s="1"/>
  <c r="C13" i="6" a="1"/>
  <c r="C13" i="6" s="1"/>
  <c r="E15" i="6" a="1"/>
  <c r="E15" i="6" s="1"/>
  <c r="E16" i="6" a="1"/>
  <c r="E16" i="6" s="1"/>
  <c r="E13" i="6" a="1"/>
  <c r="E13" i="6" s="1"/>
  <c r="C12" i="6"/>
  <c r="C11" i="6" a="1"/>
  <c r="C11" i="6" s="1"/>
  <c r="F15" i="4" l="1"/>
  <c r="F16" i="4" s="1"/>
  <c r="F18" i="4" s="1"/>
  <c r="F21" i="4"/>
  <c r="F35" i="4" s="1"/>
  <c r="F14" i="4"/>
  <c r="G7" i="4"/>
  <c r="G28" i="4" s="1"/>
  <c r="G63" i="4" s="1"/>
  <c r="F19" i="4"/>
  <c r="F33" i="4" s="1"/>
  <c r="F8" i="4"/>
  <c r="F13" i="4"/>
  <c r="F23" i="4"/>
  <c r="F22" i="4"/>
  <c r="F36" i="4" s="1"/>
  <c r="F63" i="4"/>
  <c r="G51" i="4"/>
  <c r="H51" i="4" s="1"/>
  <c r="I51" i="4" s="1"/>
  <c r="J51" i="4" s="1"/>
  <c r="K51" i="4" s="1"/>
  <c r="E38" i="4"/>
  <c r="E24" i="4"/>
  <c r="E18" i="6"/>
  <c r="G14" i="4" l="1"/>
  <c r="H7" i="4"/>
  <c r="H28" i="4" s="1"/>
  <c r="H63" i="4" s="1"/>
  <c r="G8" i="4"/>
  <c r="G22" i="4"/>
  <c r="G36" i="4" s="1"/>
  <c r="G21" i="4"/>
  <c r="G35" i="4" s="1"/>
  <c r="G23" i="4"/>
  <c r="G15" i="4"/>
  <c r="G16" i="4" s="1"/>
  <c r="G18" i="4" s="1"/>
  <c r="G20" i="4" s="1"/>
  <c r="G24" i="4" s="1"/>
  <c r="G25" i="4" s="1"/>
  <c r="G26" i="4" s="1"/>
  <c r="G19" i="4"/>
  <c r="G33" i="4" s="1"/>
  <c r="F32" i="4"/>
  <c r="F34" i="4" s="1"/>
  <c r="G13" i="4"/>
  <c r="F20" i="4"/>
  <c r="F24" i="4" s="1"/>
  <c r="F25" i="4" s="1"/>
  <c r="H21" i="4"/>
  <c r="H35" i="4" s="1"/>
  <c r="H23" i="4"/>
  <c r="H22" i="4"/>
  <c r="H36" i="4" s="1"/>
  <c r="H19" i="4"/>
  <c r="F37" i="4"/>
  <c r="E39" i="4"/>
  <c r="I7" i="4"/>
  <c r="I28" i="4" s="1"/>
  <c r="I63" i="4" s="1"/>
  <c r="H14" i="4"/>
  <c r="E25" i="4"/>
  <c r="E26" i="4" s="1"/>
  <c r="H13" i="4" l="1"/>
  <c r="H8" i="4"/>
  <c r="H15" i="4"/>
  <c r="G32" i="4"/>
  <c r="G34" i="4" s="1"/>
  <c r="F26" i="4"/>
  <c r="H33" i="4"/>
  <c r="H37" i="4"/>
  <c r="H16" i="4"/>
  <c r="F38" i="4"/>
  <c r="I22" i="4"/>
  <c r="I23" i="4"/>
  <c r="I21" i="4"/>
  <c r="I19" i="4"/>
  <c r="I33" i="4" s="1"/>
  <c r="G37" i="4"/>
  <c r="E40" i="4"/>
  <c r="J7" i="4"/>
  <c r="J28" i="4" s="1"/>
  <c r="J63" i="4" s="1"/>
  <c r="I15" i="4"/>
  <c r="I14" i="4"/>
  <c r="I13" i="4"/>
  <c r="I8" i="4"/>
  <c r="G38" i="4" l="1"/>
  <c r="I35" i="4"/>
  <c r="H32" i="4"/>
  <c r="H18" i="4"/>
  <c r="G39" i="4"/>
  <c r="G40" i="4" s="1"/>
  <c r="F39" i="4"/>
  <c r="J23" i="4"/>
  <c r="J19" i="4"/>
  <c r="J21" i="4"/>
  <c r="J35" i="4" s="1"/>
  <c r="J22" i="4"/>
  <c r="I16" i="4"/>
  <c r="K7" i="4"/>
  <c r="K28" i="4" s="1"/>
  <c r="J15" i="4"/>
  <c r="J16" i="4" s="1"/>
  <c r="J18" i="4" s="1"/>
  <c r="J14" i="4"/>
  <c r="J13" i="4"/>
  <c r="J8" i="4"/>
  <c r="J20" i="4" l="1"/>
  <c r="J24" i="4" s="1"/>
  <c r="F40" i="4"/>
  <c r="K63" i="4"/>
  <c r="H20" i="4"/>
  <c r="H34" i="4"/>
  <c r="J36" i="4"/>
  <c r="J33" i="4"/>
  <c r="J37" i="4"/>
  <c r="J25" i="4"/>
  <c r="J26" i="4" s="1"/>
  <c r="K19" i="4"/>
  <c r="K23" i="4"/>
  <c r="K37" i="4" s="1"/>
  <c r="K22" i="4"/>
  <c r="K36" i="4" s="1"/>
  <c r="K21" i="4"/>
  <c r="I37" i="4"/>
  <c r="I32" i="4"/>
  <c r="I34" i="4" s="1"/>
  <c r="I18" i="4"/>
  <c r="I20" i="4" s="1"/>
  <c r="I24" i="4" s="1"/>
  <c r="J32" i="4"/>
  <c r="J34" i="4" s="1"/>
  <c r="L7" i="4"/>
  <c r="L28" i="4" s="1"/>
  <c r="L63" i="4" s="1"/>
  <c r="K14" i="4"/>
  <c r="K15" i="4"/>
  <c r="K13" i="4"/>
  <c r="K8" i="4"/>
  <c r="J38" i="4" l="1"/>
  <c r="J39" i="4" s="1"/>
  <c r="K35" i="4"/>
  <c r="H38" i="4"/>
  <c r="K16" i="4"/>
  <c r="K18" i="4" s="1"/>
  <c r="K20" i="4" s="1"/>
  <c r="K24" i="4" s="1"/>
  <c r="H24" i="4"/>
  <c r="K33" i="4"/>
  <c r="I25" i="4"/>
  <c r="I26" i="4"/>
  <c r="L22" i="4"/>
  <c r="L36" i="4" s="1"/>
  <c r="L23" i="4"/>
  <c r="L21" i="4"/>
  <c r="L35" i="4" s="1"/>
  <c r="L19" i="4"/>
  <c r="I36" i="4"/>
  <c r="M7" i="4"/>
  <c r="L14" i="4"/>
  <c r="L15" i="4"/>
  <c r="L16" i="4" s="1"/>
  <c r="L32" i="4" s="1"/>
  <c r="L13" i="4"/>
  <c r="L8" i="4"/>
  <c r="M28" i="4" l="1"/>
  <c r="M63" i="4" s="1"/>
  <c r="M8" i="4"/>
  <c r="J40" i="4"/>
  <c r="L18" i="4"/>
  <c r="L20" i="4" s="1"/>
  <c r="L24" i="4" s="1"/>
  <c r="L25" i="4" s="1"/>
  <c r="L26" i="4" s="1"/>
  <c r="H25" i="4"/>
  <c r="L37" i="4"/>
  <c r="K32" i="4"/>
  <c r="I38" i="4"/>
  <c r="L33" i="4"/>
  <c r="L34" i="4" s="1"/>
  <c r="H39" i="4"/>
  <c r="K25" i="4"/>
  <c r="K26" i="4" s="1"/>
  <c r="M21" i="4"/>
  <c r="M35" i="4" s="1"/>
  <c r="M23" i="4"/>
  <c r="M37" i="4" s="1"/>
  <c r="M19" i="4"/>
  <c r="M22" i="4"/>
  <c r="M36" i="4" s="1"/>
  <c r="N7" i="4"/>
  <c r="M15" i="4"/>
  <c r="M14" i="4"/>
  <c r="M13" i="4"/>
  <c r="N28" i="4" l="1"/>
  <c r="N63" i="4" s="1"/>
  <c r="N8" i="4"/>
  <c r="C28" i="4"/>
  <c r="I39" i="4"/>
  <c r="I40" i="4" s="1"/>
  <c r="L38" i="4"/>
  <c r="L39" i="4" s="1"/>
  <c r="L40" i="4" s="1"/>
  <c r="B28" i="4"/>
  <c r="M33" i="4"/>
  <c r="H26" i="4"/>
  <c r="K34" i="4"/>
  <c r="H40" i="4"/>
  <c r="N21" i="4"/>
  <c r="N19" i="4"/>
  <c r="B19" i="4" s="1"/>
  <c r="N23" i="4"/>
  <c r="N22" i="4"/>
  <c r="M16" i="4"/>
  <c r="N14" i="4"/>
  <c r="N15" i="4"/>
  <c r="N13" i="4"/>
  <c r="E67" i="4" l="1"/>
  <c r="B60" i="4"/>
  <c r="D81" i="4" s="1"/>
  <c r="K38" i="4"/>
  <c r="N36" i="4"/>
  <c r="C36" i="4" s="1"/>
  <c r="C22" i="4"/>
  <c r="B22" i="4"/>
  <c r="N37" i="4"/>
  <c r="C37" i="4" s="1"/>
  <c r="B23" i="4"/>
  <c r="C23" i="4"/>
  <c r="N33" i="4"/>
  <c r="C33" i="4" s="1"/>
  <c r="C19" i="4"/>
  <c r="C13" i="4"/>
  <c r="B13" i="4"/>
  <c r="N16" i="4"/>
  <c r="N32" i="4" s="1"/>
  <c r="B15" i="4"/>
  <c r="C14" i="4"/>
  <c r="B14" i="4"/>
  <c r="N35" i="4"/>
  <c r="C35" i="4" s="1"/>
  <c r="B21" i="4"/>
  <c r="C21" i="4"/>
  <c r="M32" i="4"/>
  <c r="M18" i="4"/>
  <c r="J73" i="4"/>
  <c r="B61" i="4"/>
  <c r="L67" i="4" s="1"/>
  <c r="L68" i="4" s="1"/>
  <c r="C15" i="4"/>
  <c r="N34" i="4" l="1"/>
  <c r="N38" i="4" s="1"/>
  <c r="B16" i="4"/>
  <c r="N18" i="4"/>
  <c r="N20" i="4" s="1"/>
  <c r="N24" i="4" s="1"/>
  <c r="B33" i="4"/>
  <c r="C32" i="4"/>
  <c r="K39" i="4"/>
  <c r="K40" i="4" s="1"/>
  <c r="B37" i="4"/>
  <c r="M20" i="4"/>
  <c r="B18" i="4"/>
  <c r="M34" i="4"/>
  <c r="B32" i="4"/>
  <c r="B35" i="4"/>
  <c r="C16" i="4"/>
  <c r="B36" i="4"/>
  <c r="C34" i="4" l="1"/>
  <c r="C18" i="4"/>
  <c r="N25" i="4"/>
  <c r="N26" i="4" s="1"/>
  <c r="N39" i="4"/>
  <c r="N40" i="4" s="1"/>
  <c r="M38" i="4"/>
  <c r="B34" i="4"/>
  <c r="M24" i="4"/>
  <c r="B20" i="4"/>
  <c r="C20" i="4"/>
  <c r="B24" i="4" l="1"/>
  <c r="M25" i="4"/>
  <c r="B25" i="4" s="1"/>
  <c r="C38" i="4"/>
  <c r="M39" i="4"/>
  <c r="M40" i="4"/>
  <c r="C40" i="4" s="1"/>
  <c r="B38" i="4"/>
  <c r="C24" i="4"/>
  <c r="B40" i="4" l="1"/>
  <c r="C25" i="4"/>
  <c r="M26" i="4"/>
  <c r="B26" i="4" s="1"/>
  <c r="C39" i="4"/>
  <c r="B39" i="4"/>
  <c r="C26" i="4"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CHIKH Sabrina</author>
    <author>Martin Rougier</author>
    <author>tc={3E348E9E-DE32-C547-9D86-ED7C5B9CC16A}</author>
    <author>tc={6C6233A8-F824-3C45-A269-B5D941A0BB17}</author>
  </authors>
  <commentList>
    <comment ref="H2" authorId="0" shapeId="0" xr:uid="{00000000-0006-0000-0100-000001000000}">
      <text>
        <r>
          <rPr>
            <sz val="9"/>
            <color rgb="FF000000"/>
            <rFont val="Tahoma"/>
            <family val="2"/>
          </rPr>
          <t>Number of years for total period to be selected in the 3rd combo box</t>
        </r>
      </text>
    </comment>
    <comment ref="E3" authorId="0" shapeId="0" xr:uid="{51C5DB40-329D-470F-A0AD-AB77DBE87D55}">
      <text>
        <r>
          <rPr>
            <sz val="9"/>
            <color rgb="FF000000"/>
            <rFont val="Tahoma"/>
            <family val="2"/>
          </rPr>
          <t>The last period date is automaticall computed according to the nb of periods in E4</t>
        </r>
      </text>
    </comment>
    <comment ref="H3" authorId="0" shapeId="0" xr:uid="{B806E6AE-8D6E-4D3D-BA7E-05938AC72D39}">
      <text>
        <r>
          <rPr>
            <sz val="9"/>
            <color rgb="FF000000"/>
            <rFont val="Tahoma"/>
            <family val="2"/>
          </rPr>
          <t>Number of years for average period to be selected in the 4th combo box</t>
        </r>
      </text>
    </comment>
    <comment ref="E4" authorId="1" shapeId="0" xr:uid="{186EE62E-6DBC-4D4F-A134-2CA3C2D18414}">
      <text>
        <r>
          <rPr>
            <sz val="9"/>
            <color rgb="FF000000"/>
            <rFont val="Tahoma"/>
            <family val="2"/>
          </rPr>
          <t>Number of years to be selected in the 2nd combo box</t>
        </r>
      </text>
    </comment>
    <comment ref="A6" authorId="1" shapeId="0" xr:uid="{2BCD8396-9465-47DC-BE2B-1F2962C236B9}">
      <text>
        <r>
          <rPr>
            <sz val="9"/>
            <color rgb="FF000000"/>
            <rFont val="Tahoma"/>
            <family val="2"/>
          </rPr>
          <t>Case selection deriving from the 1st combo box</t>
        </r>
      </text>
    </comment>
    <comment ref="B18" authorId="0" shapeId="0" xr:uid="{00000000-0006-0000-0100-000003000000}">
      <text>
        <r>
          <rPr>
            <sz val="9"/>
            <color rgb="FF000000"/>
            <rFont val="Tahoma"/>
            <family val="2"/>
          </rPr>
          <t>Dynamic sum, by using OFFSET and the nb of periods requested for average (cell H2)</t>
        </r>
      </text>
    </comment>
    <comment ref="C18" authorId="0" shapeId="0" xr:uid="{00000000-0006-0000-0100-000004000000}">
      <text>
        <r>
          <rPr>
            <sz val="9"/>
            <color rgb="FF000000"/>
            <rFont val="Tahoma"/>
            <family val="2"/>
          </rPr>
          <t>Dynamic average, by using OFFSET and the nb of periods requested for average (cell H2)</t>
        </r>
      </text>
    </comment>
    <comment ref="A52" authorId="1" shapeId="0" xr:uid="{4F9042CA-26BD-4675-B0C9-3681644C62AD}">
      <text>
        <r>
          <rPr>
            <sz val="9"/>
            <color indexed="81"/>
            <rFont val="Tahoma"/>
            <family val="2"/>
          </rPr>
          <t>PMT function</t>
        </r>
      </text>
    </comment>
    <comment ref="A53" authorId="0" shapeId="0" xr:uid="{00000000-0006-0000-0100-000005000000}">
      <text>
        <r>
          <rPr>
            <sz val="9"/>
            <color indexed="81"/>
            <rFont val="Tahoma"/>
            <family val="2"/>
          </rPr>
          <t>IPMT function</t>
        </r>
      </text>
    </comment>
    <comment ref="B59" authorId="1" shapeId="0" xr:uid="{252230C3-653A-41F7-8938-723A9656A396}">
      <text>
        <r>
          <rPr>
            <sz val="9"/>
            <color rgb="FF000000"/>
            <rFont val="Tahoma"/>
            <family val="2"/>
          </rPr>
          <t>WACC to compute the NPV</t>
        </r>
      </text>
    </comment>
    <comment ref="A60" authorId="0" shapeId="0" xr:uid="{00000000-0006-0000-0100-000006000000}">
      <text>
        <r>
          <rPr>
            <sz val="9"/>
            <color rgb="FF000000"/>
            <rFont val="Tahoma"/>
            <family val="2"/>
          </rPr>
          <t>Make the ending NPV point dynamic, depending on the nb of years in E4</t>
        </r>
      </text>
    </comment>
    <comment ref="N65" authorId="1" shapeId="0" xr:uid="{BA4EBC9F-4A06-46EF-B87B-8A4A6A287D06}">
      <text>
        <r>
          <rPr>
            <sz val="9"/>
            <color rgb="FF000000"/>
            <rFont val="Tahoma"/>
            <family val="2"/>
          </rPr>
          <t>Define if we should invest in the project knowing that both criteria (1 and 2) must be met for it to be worth it</t>
        </r>
      </text>
    </comment>
    <comment ref="E67" authorId="0" shapeId="0" xr:uid="{00000000-0006-0000-0100-000009000000}">
      <text>
        <r>
          <rPr>
            <sz val="9"/>
            <color rgb="FF000000"/>
            <rFont val="Tahoma"/>
            <family val="2"/>
          </rPr>
          <t>By using INDIRECT function, the sum is dynamic and automatically adjusted to the start and end column</t>
        </r>
      </text>
    </comment>
    <comment ref="B68" authorId="0" shapeId="0" xr:uid="{00000000-0006-0000-0100-00000A000000}">
      <text>
        <r>
          <rPr>
            <b/>
            <sz val="9"/>
            <color indexed="81"/>
            <rFont val="Tahoma"/>
            <family val="2"/>
          </rPr>
          <t>CHIKH Sabrina:</t>
        </r>
        <r>
          <rPr>
            <sz val="9"/>
            <color indexed="81"/>
            <rFont val="Tahoma"/>
            <family val="2"/>
          </rPr>
          <t xml:space="preserve">
By using the CELL function, we call the row number, which will keep our model dynamic if we insert or delete rows</t>
        </r>
      </text>
    </comment>
    <comment ref="A70" authorId="0" shapeId="0" xr:uid="{00000000-0006-0000-0100-00000B000000}">
      <text>
        <r>
          <rPr>
            <b/>
            <sz val="9"/>
            <color rgb="FF000000"/>
            <rFont val="Tahoma"/>
            <family val="2"/>
          </rPr>
          <t>CHIKH Sabrina:</t>
        </r>
        <r>
          <rPr>
            <sz val="9"/>
            <color rgb="FF000000"/>
            <rFont val="Tahoma"/>
            <family val="2"/>
          </rPr>
          <t xml:space="preserve">
</t>
        </r>
        <r>
          <rPr>
            <sz val="9"/>
            <color rgb="FF000000"/>
            <rFont val="Tahoma"/>
            <family val="2"/>
          </rPr>
          <t xml:space="preserve">This part allows us to focus on the key figures </t>
        </r>
      </text>
    </comment>
    <comment ref="E72" authorId="0" shapeId="0" xr:uid="{00000000-0006-0000-0100-00000C000000}">
      <text>
        <r>
          <rPr>
            <sz val="9"/>
            <color rgb="FF000000"/>
            <rFont val="Tahoma"/>
            <family val="2"/>
          </rPr>
          <t xml:space="preserve">Let's focus on LT effect
</t>
        </r>
      </text>
    </comment>
    <comment ref="Q72" authorId="2" shapeId="0" xr:uid="{3E348E9E-DE32-C547-9D86-ED7C5B9CC16A}">
      <text>
        <t xml:space="preserve">[Threaded comment]
Your version of Excel allows you to read this threaded comment; however, any edits to it will get removed if the file is opened in a newer version of Excel. Learn more: https://go.microsoft.com/fwlink/?linkid=870924
Comment:
    应该会但不想做
</t>
      </text>
    </comment>
    <comment ref="R72" authorId="0" shapeId="0" xr:uid="{E924AB3D-BCA2-9C41-A584-FC659CDD8E12}">
      <text>
        <r>
          <rPr>
            <sz val="9"/>
            <color rgb="FF000000"/>
            <rFont val="Tahoma"/>
            <family val="2"/>
          </rPr>
          <t xml:space="preserve">Let's focus on LT effect
</t>
        </r>
      </text>
    </comment>
    <comment ref="E73" authorId="0" shapeId="0" xr:uid="{00000000-0006-0000-0100-00000D000000}">
      <text>
        <r>
          <rPr>
            <sz val="9"/>
            <color rgb="FF000000"/>
            <rFont val="Tahoma"/>
            <family val="2"/>
          </rPr>
          <t xml:space="preserve">We combine INDEX and MATCH functions to get a more dynamic matching than VLOOKUP. Indeed, here we do not need to replace the number of the column for each matching </t>
        </r>
      </text>
    </comment>
    <comment ref="M73" authorId="0" shapeId="0" xr:uid="{50269290-E32B-4F1F-90E1-37255DE80847}">
      <text>
        <r>
          <rPr>
            <sz val="9"/>
            <color rgb="FF000000"/>
            <rFont val="Tahoma"/>
            <family val="2"/>
          </rPr>
          <t>Breakeven analysis of the NI</t>
        </r>
      </text>
    </comment>
    <comment ref="N73" authorId="3" shapeId="0" xr:uid="{6C6233A8-F824-3C45-A269-B5D941A0BB17}">
      <text>
        <t xml:space="preserve">[Threaded comment]
Your version of Excel allows you to read this threaded comment; however, any edits to it will get removed if the file is opened in a newer version of Excel. Learn more: https://go.microsoft.com/fwlink/?linkid=870924
Comment:
    不会
</t>
      </text>
    </comment>
    <comment ref="R73" authorId="0" shapeId="0" xr:uid="{2B5760FC-D71A-6244-B6FD-D469ADFF0AFF}">
      <text>
        <r>
          <rPr>
            <sz val="9"/>
            <color rgb="FF000000"/>
            <rFont val="Tahoma"/>
            <family val="2"/>
          </rPr>
          <t xml:space="preserve">We combine INDEX and MATCH functions to get a more dynamic matching than VLOOKUP. Indeed, here we do not need to replace the number of the column for each matching </t>
        </r>
      </text>
    </comment>
    <comment ref="J74" authorId="0" shapeId="0" xr:uid="{00000000-0006-0000-0100-00000F000000}">
      <text>
        <r>
          <rPr>
            <sz val="9"/>
            <color rgb="FF000000"/>
            <rFont val="Tahoma"/>
            <family val="2"/>
          </rPr>
          <t>Using GOAL SEEK, we found which discount rate allows us to reach an NPV of 2000, we typed it manually in this cell and kept the original rate in the valuation section</t>
        </r>
      </text>
    </comment>
    <comment ref="M74" authorId="0" shapeId="0" xr:uid="{E70719C7-3AAA-4EA6-8379-1500C60602AA}">
      <text>
        <r>
          <rPr>
            <sz val="9"/>
            <color rgb="FF000000"/>
            <rFont val="Tahoma"/>
            <family val="2"/>
          </rPr>
          <t>By using GOAL SEEK, we looked for wich 2022 Revenue, the 2022 NI will be equal to zero</t>
        </r>
      </text>
    </comment>
    <comment ref="A77" authorId="0" shapeId="0" xr:uid="{81943357-4305-471F-900E-92F7D9463ED3}">
      <text>
        <r>
          <rPr>
            <b/>
            <sz val="9"/>
            <color indexed="81"/>
            <rFont val="Tahoma"/>
            <family val="2"/>
          </rPr>
          <t xml:space="preserve">CHIKH Sabrina:
This part will help us to explore the sensitivity of the NPV according the discount rate and the investment amount
</t>
        </r>
      </text>
    </comment>
    <comment ref="C79" authorId="1" shapeId="0" xr:uid="{7F50E29B-D9BB-4C1A-A067-B464E8413A6C}">
      <text>
        <r>
          <rPr>
            <b/>
            <sz val="9"/>
            <color rgb="FF000000"/>
            <rFont val="Tahoma"/>
            <family val="2"/>
          </rPr>
          <t>Martin Rougier:</t>
        </r>
        <r>
          <rPr>
            <sz val="9"/>
            <color rgb="FF000000"/>
            <rFont val="Tahoma"/>
            <family val="2"/>
          </rPr>
          <t xml:space="preserve">
</t>
        </r>
        <r>
          <rPr>
            <sz val="9"/>
            <color rgb="FF000000"/>
            <rFont val="Tahoma"/>
            <family val="2"/>
          </rPr>
          <t>Cell format --&gt; center accross selection =&gt; it is much better than merger the cells which could cause pb if you need to add columns</t>
        </r>
      </text>
    </comment>
    <comment ref="D81" authorId="1" shapeId="0" xr:uid="{2D83AEEA-BE6B-4313-85E9-63AD60A4E78D}">
      <text>
        <r>
          <rPr>
            <sz val="9"/>
            <color rgb="FF000000"/>
            <rFont val="Tahoma"/>
            <family val="2"/>
          </rPr>
          <t xml:space="preserve">Table used to show different outcome when 2 variables are changing.
</t>
        </r>
        <r>
          <rPr>
            <sz val="9"/>
            <color rgb="FF000000"/>
            <rFont val="Tahoma"/>
            <family val="2"/>
          </rPr>
          <t xml:space="preserve">Use Data table to solve this.
</t>
        </r>
        <r>
          <rPr>
            <sz val="9"/>
            <color rgb="FF000000"/>
            <rFont val="Tahoma"/>
            <family val="2"/>
          </rPr>
          <t xml:space="preserve">
</t>
        </r>
        <r>
          <rPr>
            <sz val="9"/>
            <color rgb="FF000000"/>
            <rFont val="Tahoma"/>
            <family val="2"/>
          </rPr>
          <t>The formula in this cell is hidden since it is not relevant to make it appear, could be confusing for the user</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<sst xmlns="http://schemas.openxmlformats.org/spreadsheetml/2006/main" count="261" uniqueCount="74">
  <si>
    <t>Revenue</t>
  </si>
  <si>
    <t>COGS</t>
  </si>
  <si>
    <t>Gross Profit</t>
  </si>
  <si>
    <t>Salaries</t>
  </si>
  <si>
    <t>Marketing</t>
  </si>
  <si>
    <t>Rent</t>
  </si>
  <si>
    <t>Earnings Before Tax</t>
  </si>
  <si>
    <t>Tax</t>
  </si>
  <si>
    <t>Net Income</t>
  </si>
  <si>
    <t>Year</t>
  </si>
  <si>
    <t>First</t>
  </si>
  <si>
    <t xml:space="preserve">Last </t>
  </si>
  <si>
    <t xml:space="preserve">#periods </t>
  </si>
  <si>
    <t>Total</t>
  </si>
  <si>
    <t>Average</t>
  </si>
  <si>
    <t>Revenue Scenarios</t>
  </si>
  <si>
    <t>Base</t>
  </si>
  <si>
    <t>Upside</t>
  </si>
  <si>
    <t>Downside</t>
  </si>
  <si>
    <t xml:space="preserve">Raw data </t>
  </si>
  <si>
    <t>Output data</t>
  </si>
  <si>
    <t>Debt and interests</t>
  </si>
  <si>
    <t>Debt Assumptions</t>
  </si>
  <si>
    <t>Loan Amount</t>
  </si>
  <si>
    <t>Term</t>
  </si>
  <si>
    <t>Rate</t>
  </si>
  <si>
    <t>Timeline</t>
  </si>
  <si>
    <t>Opening</t>
  </si>
  <si>
    <t>Total Payment</t>
  </si>
  <si>
    <t>Interest Payment</t>
  </si>
  <si>
    <t>Principal Payment</t>
  </si>
  <si>
    <t>Closing Balance</t>
  </si>
  <si>
    <t>Valuation</t>
  </si>
  <si>
    <t>NPV</t>
  </si>
  <si>
    <t>IRR</t>
  </si>
  <si>
    <t>Free Cash Flow</t>
  </si>
  <si>
    <t>Summary report</t>
  </si>
  <si>
    <t>Goal Seek Analysis</t>
  </si>
  <si>
    <t>2022 Net Income</t>
  </si>
  <si>
    <t>Discount</t>
  </si>
  <si>
    <t>2022 Revenue</t>
  </si>
  <si>
    <t>Cumulative FCF</t>
  </si>
  <si>
    <t>Start column</t>
  </si>
  <si>
    <t>E</t>
  </si>
  <si>
    <t>End column</t>
  </si>
  <si>
    <t>Row #</t>
  </si>
  <si>
    <t>Cover Page</t>
  </si>
  <si>
    <t>Criteria 1</t>
  </si>
  <si>
    <t>IRR &gt;=</t>
  </si>
  <si>
    <t>Criteria 2</t>
  </si>
  <si>
    <t>NPV &gt;=</t>
  </si>
  <si>
    <t>Result if True</t>
  </si>
  <si>
    <t>Result if False</t>
  </si>
  <si>
    <t>Sensitivity Analysis</t>
  </si>
  <si>
    <t>NPV Sensitivity</t>
  </si>
  <si>
    <t>Discount Rate</t>
  </si>
  <si>
    <t>Investment</t>
  </si>
  <si>
    <t>Charts and Graphs</t>
  </si>
  <si>
    <t>Gross Margin</t>
  </si>
  <si>
    <t>Control panel</t>
  </si>
  <si>
    <t>Select a case:</t>
  </si>
  <si>
    <t xml:space="preserve">Select a #years: </t>
  </si>
  <si>
    <t>Select a #years for Total period</t>
  </si>
  <si>
    <t>Select a #years for Average period</t>
  </si>
  <si>
    <t>T</t>
  </si>
  <si>
    <t>Selected case</t>
  </si>
  <si>
    <t>WACC</t>
  </si>
  <si>
    <t/>
  </si>
  <si>
    <t>Base case</t>
  </si>
  <si>
    <t>Upside case</t>
  </si>
  <si>
    <t>Downside case</t>
  </si>
  <si>
    <t>index match</t>
  </si>
  <si>
    <t>TAX</t>
  </si>
  <si>
    <t>double vxlookup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</si>
</sst>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8" formatCode="&quot;$&quot;#,##0.00_);[Red]\(&quot;$&quot;#,##0.00\)"/>
    <numFmt numFmtId="43" formatCode="_(* #,##0.00_);_(* \(#,##0.00\);_(* &quot;-&quot;??_);_(@_)"/>
    <numFmt numFmtId="164" formatCode="#,##0.00\ &quot;€&quot;;[Red]\-#,##0.00\ &quot;€&quot;"/>
    <numFmt numFmtId="165" formatCode="0.0%"/>
    <numFmt numFmtId="169" formatCode="_(* #,##0_);_(* \(#,##0\);_(* &quot;-&quot;??_);_(@_)"/>
  </numFmts>
  <fonts count="24" x14ac:knownFonts="1">
    <font>
      <sz val="11"/>
      <color theme="1"/>
      <name val="Arial Narrow"/>
      <family val="2"/>
    </font>
    <font>
      <sz val="11"/>
      <color theme="1"/>
      <name val="Calibri"/>
      <family val="2"/>
      <scheme val="minor"/>
    </font>
    <font>
      <sz val="11"/>
      <color theme="1"/>
      <name val="Arial Narrow"/>
      <family val="2"/>
    </font>
    <font>
      <b/>
      <sz val="11"/>
      <color theme="1"/>
      <name val="Arial Narrow"/>
      <family val="2"/>
    </font>
    <font>
      <u/>
      <sz val="11"/>
      <color theme="10"/>
      <name val="Calibri"/>
      <family val="2"/>
      <scheme val="minor"/>
    </font>
    <font>
      <u/>
      <sz val="10"/>
      <color theme="10"/>
      <name val="Arial"/>
      <family val="2"/>
    </font>
    <font>
      <sz val="11"/>
      <color theme="0"/>
      <name val="Arial Narrow"/>
      <family val="2"/>
    </font>
    <font>
      <sz val="9"/>
      <color indexed="81"/>
      <name val="Tahoma"/>
      <family val="2"/>
    </font>
    <font>
      <b/>
      <sz val="9"/>
      <color indexed="81"/>
      <name val="Tahoma"/>
      <family val="2"/>
    </font>
    <font>
      <sz val="11"/>
      <name val="Arial Narrow"/>
      <family val="2"/>
    </font>
    <font>
      <sz val="11"/>
      <color rgb="FF0000FF"/>
      <name val="Arial Narrow"/>
      <family val="2"/>
    </font>
    <font>
      <b/>
      <sz val="11"/>
      <color theme="0"/>
      <name val="Arial Narrow"/>
      <family val="2"/>
    </font>
    <font>
      <sz val="10"/>
      <color theme="0"/>
      <name val="Arial Narrow"/>
      <family val="2"/>
    </font>
    <font>
      <u/>
      <sz val="11"/>
      <color theme="10"/>
      <name val="Arial Narrow"/>
      <family val="2"/>
    </font>
    <font>
      <b/>
      <sz val="16"/>
      <color theme="0"/>
      <name val="Arial Narrow"/>
      <family val="2"/>
    </font>
    <font>
      <b/>
      <sz val="14"/>
      <color theme="1"/>
      <name val="Arial Narrow"/>
      <family val="2"/>
    </font>
    <font>
      <b/>
      <u/>
      <sz val="14"/>
      <color theme="0"/>
      <name val="Arial Narrow"/>
      <family val="2"/>
    </font>
    <font>
      <sz val="11"/>
      <color rgb="FFFF9999"/>
      <name val="Arial Narrow"/>
      <family val="2"/>
    </font>
    <font>
      <b/>
      <sz val="11"/>
      <name val="Arial Narrow"/>
      <family val="2"/>
    </font>
    <font>
      <u/>
      <sz val="11"/>
      <color theme="1"/>
      <name val="Arial Narrow"/>
      <family val="2"/>
    </font>
    <font>
      <sz val="9"/>
      <color rgb="FF000000"/>
      <name val="Tahoma"/>
      <family val="2"/>
    </font>
    <font>
      <b/>
      <sz val="9"/>
      <color rgb="FF000000"/>
      <name val="Tahoma"/>
      <family val="2"/>
    </font>
    <font>
      <sz val="10"/>
      <color rgb="FF000000"/>
      <name val="Tahoma"/>
      <family val="2"/>
    </font>
    <font>
      <sz val="11"/>
      <color rgb="FFFF0000"/>
      <name val="Arial Narrow"/>
      <family val="2"/>
    </font>
  </fonts>
  <fills count="9">
    <fill>
      <patternFill patternType="none"/>
    </fill>
    <fill>
      <patternFill patternType="gray125"/>
    </fill>
    <fill>
      <patternFill patternType="solid">
        <fgColor rgb="FF07047E"/>
        <bgColor indexed="64"/>
      </patternFill>
    </fill>
    <fill>
      <patternFill patternType="solid">
        <fgColor rgb="FFFF0066"/>
        <bgColor indexed="64"/>
      </patternFill>
    </fill>
    <fill>
      <patternFill patternType="solid">
        <fgColor theme="4" tint="-0.249977111117893"/>
        <bgColor indexed="64"/>
      </patternFill>
    </fill>
    <fill>
      <patternFill patternType="solid">
        <fgColor theme="0"/>
        <bgColor indexed="64"/>
      </patternFill>
    </fill>
    <fill>
      <patternFill patternType="solid">
        <fgColor theme="4" tint="0.79998168889431442"/>
        <bgColor indexed="64"/>
      </patternFill>
    </fill>
    <fill>
      <patternFill patternType="solid">
        <fgColor theme="9" tint="0.59999389629810485"/>
        <bgColor indexed="64"/>
      </patternFill>
    </fill>
    <fill>
      <patternFill patternType="solid">
        <fgColor rgb="FFFFC000"/>
        <bgColor indexed="64"/>
      </patternFill>
    </fill>
  </fills>
  <borders count="8">
    <border>
      <left/>
      <right/>
      <top/>
      <bottom/>
      <diagonal/>
    </border>
    <border>
      <left/>
      <right/>
      <top style="thin">
        <color indexed="64"/>
      </top>
      <bottom/>
      <diagonal/>
    </border>
    <border>
      <left/>
      <right/>
      <top style="thin">
        <color indexed="64"/>
      </top>
      <bottom style="double">
        <color indexed="64"/>
      </bottom>
      <diagonal/>
    </border>
    <border>
      <left/>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7">
    <xf numFmtId="0" fontId="0" fillId="0" borderId="0"/>
    <xf numFmtId="0" fontId="1" fillId="0" borderId="0"/>
    <xf numFmtId="0" fontId="4" fillId="0" borderId="0" applyNumberFormat="0" applyFill="0" applyBorder="0" applyAlignment="0" applyProtection="0"/>
    <xf numFmtId="0" fontId="5" fillId="0" borderId="0" applyNumberFormat="0" applyFill="0" applyBorder="0" applyAlignment="0" applyProtection="0"/>
    <xf numFmtId="9" fontId="2" fillId="0" borderId="0" applyFont="0" applyFill="0" applyBorder="0" applyAlignment="0" applyProtection="0"/>
    <xf numFmtId="0" fontId="13" fillId="0" borderId="0" applyNumberFormat="0" applyFill="0" applyBorder="0" applyAlignment="0" applyProtection="0"/>
    <xf numFmtId="43" fontId="2" fillId="0" borderId="0" applyFont="0" applyFill="0" applyBorder="0" applyAlignment="0" applyProtection="0"/>
  </cellStyleXfs>
  <cellXfs count="70">
    <xf numFmtId="0" fontId="0" fillId="0" borderId="0" xfId="0"/>
    <xf numFmtId="1" fontId="0" fillId="0" borderId="0" xfId="0" applyNumberFormat="1"/>
    <xf numFmtId="0" fontId="11" fillId="3" borderId="0" xfId="0" applyFont="1" applyFill="1"/>
    <xf numFmtId="0" fontId="6" fillId="3" borderId="0" xfId="0" applyFont="1" applyFill="1"/>
    <xf numFmtId="0" fontId="0" fillId="3" borderId="0" xfId="0" applyFill="1"/>
    <xf numFmtId="0" fontId="14" fillId="3" borderId="0" xfId="0" applyFont="1" applyFill="1"/>
    <xf numFmtId="0" fontId="6" fillId="0" borderId="0" xfId="0" applyFont="1"/>
    <xf numFmtId="0" fontId="15" fillId="0" borderId="0" xfId="0" applyFont="1"/>
    <xf numFmtId="0" fontId="10" fillId="0" borderId="0" xfId="0" applyFont="1"/>
    <xf numFmtId="9" fontId="10" fillId="0" borderId="0" xfId="0" applyNumberFormat="1" applyFont="1" applyAlignment="1">
      <alignment horizontal="left"/>
    </xf>
    <xf numFmtId="0" fontId="11" fillId="2" borderId="0" xfId="0" applyFont="1" applyFill="1"/>
    <xf numFmtId="0" fontId="11" fillId="2" borderId="0" xfId="0" applyFont="1" applyFill="1" applyAlignment="1">
      <alignment horizontal="right"/>
    </xf>
    <xf numFmtId="0" fontId="11" fillId="0" borderId="0" xfId="0" applyFont="1" applyAlignment="1">
      <alignment horizontal="right"/>
    </xf>
    <xf numFmtId="3" fontId="0" fillId="0" borderId="0" xfId="0" applyNumberFormat="1"/>
    <xf numFmtId="3" fontId="0" fillId="0" borderId="0" xfId="0" applyNumberFormat="1" applyAlignment="1">
      <alignment horizontal="right"/>
    </xf>
    <xf numFmtId="3" fontId="10" fillId="0" borderId="0" xfId="0" applyNumberFormat="1" applyFont="1"/>
    <xf numFmtId="3" fontId="9" fillId="0" borderId="0" xfId="0" applyNumberFormat="1" applyFont="1"/>
    <xf numFmtId="0" fontId="3" fillId="0" borderId="0" xfId="0" applyFont="1"/>
    <xf numFmtId="3" fontId="3" fillId="0" borderId="0" xfId="0" applyNumberFormat="1" applyFont="1"/>
    <xf numFmtId="3" fontId="3" fillId="0" borderId="0" xfId="0" applyNumberFormat="1" applyFont="1" applyAlignment="1">
      <alignment horizontal="right"/>
    </xf>
    <xf numFmtId="0" fontId="0" fillId="0" borderId="1" xfId="0" applyBorder="1"/>
    <xf numFmtId="3" fontId="0" fillId="0" borderId="1" xfId="0" applyNumberFormat="1" applyBorder="1"/>
    <xf numFmtId="3" fontId="0" fillId="0" borderId="1" xfId="0" applyNumberFormat="1" applyBorder="1" applyAlignment="1">
      <alignment horizontal="right"/>
    </xf>
    <xf numFmtId="0" fontId="3" fillId="0" borderId="2" xfId="0" applyFont="1" applyBorder="1"/>
    <xf numFmtId="3" fontId="3" fillId="0" borderId="2" xfId="0" applyNumberFormat="1" applyFont="1" applyBorder="1"/>
    <xf numFmtId="3" fontId="3" fillId="0" borderId="2" xfId="0" applyNumberFormat="1" applyFont="1" applyBorder="1" applyAlignment="1">
      <alignment horizontal="right"/>
    </xf>
    <xf numFmtId="165" fontId="10" fillId="0" borderId="0" xfId="4" applyNumberFormat="1" applyFont="1" applyProtection="1"/>
    <xf numFmtId="0" fontId="10" fillId="0" borderId="1" xfId="0" applyFont="1" applyBorder="1" applyAlignment="1">
      <alignment horizontal="right"/>
    </xf>
    <xf numFmtId="37" fontId="0" fillId="0" borderId="1" xfId="0" applyNumberFormat="1" applyBorder="1"/>
    <xf numFmtId="0" fontId="10" fillId="0" borderId="0" xfId="0" applyFont="1" applyAlignment="1">
      <alignment horizontal="right"/>
    </xf>
    <xf numFmtId="37" fontId="0" fillId="0" borderId="0" xfId="0" applyNumberFormat="1"/>
    <xf numFmtId="0" fontId="9" fillId="0" borderId="0" xfId="0" applyFont="1" applyAlignment="1">
      <alignment horizontal="right"/>
    </xf>
    <xf numFmtId="0" fontId="3" fillId="0" borderId="1" xfId="0" applyFont="1" applyBorder="1"/>
    <xf numFmtId="37" fontId="10" fillId="0" borderId="1" xfId="0" applyNumberFormat="1" applyFont="1" applyBorder="1"/>
    <xf numFmtId="0" fontId="11" fillId="4" borderId="0" xfId="0" applyFont="1" applyFill="1" applyAlignment="1">
      <alignment horizontal="centerContinuous"/>
    </xf>
    <xf numFmtId="0" fontId="3" fillId="0" borderId="0" xfId="0" applyFont="1" applyAlignment="1">
      <alignment horizontal="centerContinuous" vertical="center"/>
    </xf>
    <xf numFmtId="0" fontId="0" fillId="0" borderId="0" xfId="0" applyAlignment="1">
      <alignment horizontal="centerContinuous" vertical="center"/>
    </xf>
    <xf numFmtId="37" fontId="6" fillId="5" borderId="0" xfId="0" applyNumberFormat="1" applyFont="1" applyFill="1"/>
    <xf numFmtId="9" fontId="3" fillId="0" borderId="3" xfId="4" applyFont="1" applyBorder="1" applyProtection="1"/>
    <xf numFmtId="0" fontId="3" fillId="0" borderId="4" xfId="0" applyFont="1" applyBorder="1"/>
    <xf numFmtId="37" fontId="3" fillId="0" borderId="4" xfId="0" applyNumberFormat="1" applyFont="1" applyBorder="1"/>
    <xf numFmtId="0" fontId="0" fillId="0" borderId="4" xfId="0" applyBorder="1"/>
    <xf numFmtId="9" fontId="0" fillId="0" borderId="0" xfId="4" applyFont="1" applyProtection="1"/>
    <xf numFmtId="0" fontId="9" fillId="0" borderId="0" xfId="0" applyFont="1"/>
    <xf numFmtId="0" fontId="16" fillId="3" borderId="0" xfId="5" applyFont="1" applyFill="1"/>
    <xf numFmtId="0" fontId="6" fillId="3" borderId="6" xfId="0" applyFont="1" applyFill="1" applyBorder="1"/>
    <xf numFmtId="14" fontId="10" fillId="0" borderId="7" xfId="0" applyNumberFormat="1" applyFont="1" applyBorder="1"/>
    <xf numFmtId="14" fontId="9" fillId="0" borderId="7" xfId="0" applyNumberFormat="1" applyFont="1" applyBorder="1"/>
    <xf numFmtId="0" fontId="15" fillId="0" borderId="7" xfId="0" applyFont="1" applyBorder="1"/>
    <xf numFmtId="14" fontId="12" fillId="2" borderId="7" xfId="0" applyNumberFormat="1" applyFont="1" applyFill="1" applyBorder="1" applyAlignment="1">
      <alignment horizontal="right"/>
    </xf>
    <xf numFmtId="0" fontId="0" fillId="6" borderId="0" xfId="0" applyFill="1"/>
    <xf numFmtId="165" fontId="17" fillId="0" borderId="0" xfId="4" applyNumberFormat="1" applyFont="1" applyProtection="1"/>
    <xf numFmtId="37" fontId="17" fillId="0" borderId="0" xfId="0" applyNumberFormat="1" applyFont="1"/>
    <xf numFmtId="0" fontId="18" fillId="0" borderId="0" xfId="0" applyFont="1" applyAlignment="1">
      <alignment horizontal="right"/>
    </xf>
    <xf numFmtId="164" fontId="0" fillId="0" borderId="0" xfId="0" applyNumberFormat="1"/>
    <xf numFmtId="3" fontId="6" fillId="3" borderId="0" xfId="0" applyNumberFormat="1" applyFont="1" applyFill="1"/>
    <xf numFmtId="0" fontId="10" fillId="6" borderId="5" xfId="0" applyFont="1" applyFill="1" applyBorder="1"/>
    <xf numFmtId="3" fontId="0" fillId="7" borderId="1" xfId="0" applyNumberFormat="1" applyFill="1" applyBorder="1"/>
    <xf numFmtId="0" fontId="19" fillId="0" borderId="0" xfId="0" applyFont="1"/>
    <xf numFmtId="8" fontId="0" fillId="0" borderId="0" xfId="0" applyNumberFormat="1"/>
    <xf numFmtId="169" fontId="0" fillId="0" borderId="2" xfId="6" applyNumberFormat="1" applyFont="1" applyBorder="1"/>
    <xf numFmtId="3" fontId="0" fillId="0" borderId="2" xfId="0" applyNumberFormat="1" applyBorder="1"/>
    <xf numFmtId="3" fontId="9" fillId="0" borderId="2" xfId="0" applyNumberFormat="1" applyFont="1" applyBorder="1"/>
    <xf numFmtId="0" fontId="6" fillId="5" borderId="0" xfId="0" applyFont="1" applyFill="1"/>
    <xf numFmtId="10" fontId="0" fillId="0" borderId="0" xfId="4" applyNumberFormat="1" applyFont="1"/>
    <xf numFmtId="37" fontId="0" fillId="5" borderId="1" xfId="0" applyNumberFormat="1" applyFill="1" applyBorder="1"/>
    <xf numFmtId="37" fontId="0" fillId="5" borderId="0" xfId="0" applyNumberFormat="1" applyFill="1"/>
    <xf numFmtId="1" fontId="0" fillId="0" borderId="1" xfId="0" applyNumberFormat="1" applyBorder="1"/>
    <xf numFmtId="3" fontId="0" fillId="5" borderId="1" xfId="0" applyNumberFormat="1" applyFill="1" applyBorder="1"/>
    <xf numFmtId="0" fontId="23" fillId="8" borderId="0" xfId="0" applyFont="1" applyFill="1"/>
  </cellXfs>
  <cellStyles count="7">
    <cellStyle name="Comma" xfId="6" builtinId="3"/>
    <cellStyle name="Hyperlink" xfId="5" builtinId="8"/>
    <cellStyle name="Hyperlink 2" xfId="2" xr:uid="{00000000-0005-0000-0000-000000000000}"/>
    <cellStyle name="Hyperlink 2 2" xfId="3" xr:uid="{00000000-0005-0000-0000-000001000000}"/>
    <cellStyle name="Normal" xfId="0" builtinId="0"/>
    <cellStyle name="Normal 2 2" xfId="1" xr:uid="{00000000-0005-0000-0000-000004000000}"/>
    <cellStyle name="Percent" xfId="4" builtinId="5"/>
  </cellStyles>
  <dxfs count="4">
    <dxf>
      <font>
        <color rgb="FF9C0006"/>
      </font>
      <fill>
        <patternFill>
          <bgColor rgb="FFFFC7CE"/>
        </patternFill>
      </fill>
    </dxf>
    <dxf>
      <font>
        <color rgb="FF006100"/>
      </font>
      <fill>
        <patternFill>
          <bgColor rgb="FFC6EFCE"/>
        </patternFill>
      </fill>
    </dxf>
    <dxf>
      <font>
        <color rgb="FF9C5700"/>
      </font>
      <fill>
        <patternFill>
          <bgColor rgb="FFFFEB9C"/>
        </patternFill>
      </fill>
    </dxf>
    <dxf>
      <fill>
        <patternFill>
          <bgColor rgb="FFFF0066"/>
        </patternFill>
      </fill>
    </dxf>
  </dxfs>
  <tableStyles count="0" defaultTableStyle="TableStyleMedium2" defaultPivotStyle="PivotStyleLight16"/>
  <colors>
    <mruColors>
      <color rgb="FFFF0066"/>
      <color rgb="FF0000FF"/>
      <color rgb="FF07047E"/>
      <color rgb="FFFF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901159230096238"/>
          <c:y val="0.18560185185185185"/>
          <c:w val="0.84654396325459313"/>
          <c:h val="0.61498432487605714"/>
        </c:manualLayout>
      </c:layout>
      <c:barChart>
        <c:barDir val="col"/>
        <c:grouping val="clustered"/>
        <c:varyColors val="0"/>
        <c:ser>
          <c:idx val="0"/>
          <c:order val="0"/>
          <c:tx>
            <c:strRef>
              <c:f>Analysis!$A$90</c:f>
              <c:strCache>
                <c:ptCount val="1"/>
                <c:pt idx="0">
                  <c:v>Revenue</c:v>
                </c:pt>
              </c:strCache>
            </c:strRef>
          </c:tx>
          <c:spPr>
            <a:solidFill>
              <a:schemeClr val="accent1"/>
            </a:solidFill>
            <a:ln>
              <a:noFill/>
            </a:ln>
            <a:effectLst/>
          </c:spPr>
          <c:invertIfNegative val="0"/>
          <c:cat>
            <c:strRef>
              <c:f>Analysis!$E$7:$O$7</c:f>
              <c:strCache>
                <c:ptCount val="10"/>
                <c:pt idx="0">
                  <c:v>2020</c:v>
                </c:pt>
                <c:pt idx="1">
                  <c:v>2021</c:v>
                </c:pt>
                <c:pt idx="2">
                  <c:v>2022</c:v>
                </c:pt>
                <c:pt idx="3">
                  <c:v>2023</c:v>
                </c:pt>
                <c:pt idx="4">
                  <c:v>2024</c:v>
                </c:pt>
                <c:pt idx="5">
                  <c:v>2025</c:v>
                </c:pt>
                <c:pt idx="6">
                  <c:v>2026</c:v>
                </c:pt>
                <c:pt idx="7">
                  <c:v>2027</c:v>
                </c:pt>
                <c:pt idx="8">
                  <c:v>2028</c:v>
                </c:pt>
                <c:pt idx="9">
                  <c:v>2029</c:v>
                </c:pt>
              </c:strCache>
            </c:strRef>
          </c:cat>
          <c:val>
            <c:numRef>
              <c:f>[0]!ChartRevenue</c:f>
            </c:numRef>
          </c:val>
          <c:extLst>
            <c:ext xmlns:c16="http://schemas.microsoft.com/office/drawing/2014/chart" uri="{C3380CC4-5D6E-409C-BE32-E72D297353CC}">
              <c16:uniqueId val="{00000000-52EB-43B4-95BF-41898B93BC06}"/>
            </c:ext>
          </c:extLst>
        </c:ser>
        <c:dLbls>
          <c:showLegendKey val="0"/>
          <c:showVal val="0"/>
          <c:showCatName val="0"/>
          <c:showSerName val="0"/>
          <c:showPercent val="0"/>
          <c:showBubbleSize val="0"/>
        </c:dLbls>
        <c:gapWidth val="134"/>
        <c:overlap val="-27"/>
        <c:axId val="468124640"/>
        <c:axId val="468127552"/>
      </c:barChart>
      <c:lineChart>
        <c:grouping val="standard"/>
        <c:varyColors val="0"/>
        <c:ser>
          <c:idx val="1"/>
          <c:order val="1"/>
          <c:tx>
            <c:strRef>
              <c:f>Analysis!$A$91</c:f>
              <c:strCache>
                <c:ptCount val="1"/>
                <c:pt idx="0">
                  <c:v>Gross Margin</c:v>
                </c:pt>
              </c:strCache>
            </c:strRef>
          </c:tx>
          <c:spPr>
            <a:ln w="28575" cap="rnd">
              <a:solidFill>
                <a:schemeClr val="accent2"/>
              </a:solidFill>
              <a:round/>
            </a:ln>
            <a:effectLst/>
          </c:spPr>
          <c:marker>
            <c:symbol val="none"/>
          </c:marker>
          <c:val>
            <c:numRef>
              <c:f>[0]!ChartGrossMargin</c:f>
            </c:numRef>
          </c:val>
          <c:smooth val="0"/>
          <c:extLst>
            <c:ext xmlns:c16="http://schemas.microsoft.com/office/drawing/2014/chart" uri="{C3380CC4-5D6E-409C-BE32-E72D297353CC}">
              <c16:uniqueId val="{00000001-52EB-43B4-95BF-41898B93BC06}"/>
            </c:ext>
          </c:extLst>
        </c:ser>
        <c:dLbls>
          <c:showLegendKey val="0"/>
          <c:showVal val="0"/>
          <c:showCatName val="0"/>
          <c:showSerName val="0"/>
          <c:showPercent val="0"/>
          <c:showBubbleSize val="0"/>
        </c:dLbls>
        <c:marker val="1"/>
        <c:smooth val="0"/>
        <c:axId val="476315968"/>
        <c:axId val="476330112"/>
      </c:lineChart>
      <c:catAx>
        <c:axId val="4681246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468127552"/>
        <c:crosses val="autoZero"/>
        <c:auto val="1"/>
        <c:lblAlgn val="ctr"/>
        <c:lblOffset val="100"/>
        <c:noMultiLvlLbl val="0"/>
      </c:catAx>
      <c:valAx>
        <c:axId val="468127552"/>
        <c:scaling>
          <c:orientation val="minMax"/>
          <c:max val="250000"/>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468124640"/>
        <c:crosses val="autoZero"/>
        <c:crossBetween val="between"/>
      </c:valAx>
      <c:valAx>
        <c:axId val="476330112"/>
        <c:scaling>
          <c:orientation val="minMax"/>
          <c:max val="0.65000000000000013"/>
          <c:min val="0.45"/>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476315968"/>
        <c:crosses val="max"/>
        <c:crossBetween val="between"/>
      </c:valAx>
      <c:catAx>
        <c:axId val="476315968"/>
        <c:scaling>
          <c:orientation val="minMax"/>
        </c:scaling>
        <c:delete val="1"/>
        <c:axPos val="b"/>
        <c:majorTickMark val="out"/>
        <c:minorTickMark val="none"/>
        <c:tickLblPos val="nextTo"/>
        <c:crossAx val="476330112"/>
        <c:crosses val="autoZero"/>
        <c:auto val="1"/>
        <c:lblAlgn val="ctr"/>
        <c:lblOffset val="100"/>
        <c:noMultiLvlLbl val="0"/>
      </c:catAx>
      <c:spPr>
        <a:noFill/>
        <a:ln>
          <a:noFill/>
        </a:ln>
        <a:effectLst/>
      </c:spPr>
    </c:plotArea>
    <c:legend>
      <c:legendPos val="b"/>
      <c:layout>
        <c:manualLayout>
          <c:xMode val="edge"/>
          <c:yMode val="edge"/>
          <c:x val="0.30500240594925632"/>
          <c:y val="5.6133712452610049E-2"/>
          <c:w val="0.42371058190631272"/>
          <c:h val="7.6489220649669787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legend>
    <c:plotVisOnly val="1"/>
    <c:dispBlanksAs val="gap"/>
    <c:showDLblsOverMax val="0"/>
  </c:chart>
  <c:spPr>
    <a:solidFill>
      <a:schemeClr val="bg1"/>
    </a:solidFill>
    <a:ln w="9525" cap="flat" cmpd="sng" algn="ctr">
      <a:noFill/>
      <a:round/>
    </a:ln>
    <a:effectLst/>
  </c:spPr>
  <c:txPr>
    <a:bodyPr/>
    <a:lstStyle/>
    <a:p>
      <a:pPr>
        <a:defRPr/>
      </a:pPr>
      <a:endParaRPr lang="fr-F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901159230096238"/>
          <c:y val="7.407407407407407E-2"/>
          <c:w val="0.84654396325459313"/>
          <c:h val="0.73577136191309422"/>
        </c:manualLayout>
      </c:layout>
      <c:barChart>
        <c:barDir val="col"/>
        <c:grouping val="stacked"/>
        <c:varyColors val="0"/>
        <c:ser>
          <c:idx val="5"/>
          <c:order val="0"/>
          <c:tx>
            <c:strRef>
              <c:f>Analysis!$A$98</c:f>
              <c:strCache>
                <c:ptCount val="1"/>
                <c:pt idx="0">
                  <c:v>Net Income</c:v>
                </c:pt>
              </c:strCache>
            </c:strRef>
          </c:tx>
          <c:spPr>
            <a:solidFill>
              <a:schemeClr val="accent6"/>
            </a:solidFill>
            <a:ln>
              <a:noFill/>
            </a:ln>
            <a:effectLst/>
          </c:spPr>
          <c:invertIfNegative val="0"/>
          <c:cat>
            <c:numRef>
              <c:f>Analysis!$E$7:$N$7</c:f>
              <c:numCache>
                <c:formatCode>General</c:formatCode>
                <c:ptCount val="10"/>
                <c:pt idx="0">
                  <c:v>2020</c:v>
                </c:pt>
                <c:pt idx="1">
                  <c:v>2021</c:v>
                </c:pt>
                <c:pt idx="2">
                  <c:v>2022</c:v>
                </c:pt>
                <c:pt idx="3">
                  <c:v>2023</c:v>
                </c:pt>
                <c:pt idx="4">
                  <c:v>2024</c:v>
                </c:pt>
                <c:pt idx="5">
                  <c:v>2025</c:v>
                </c:pt>
                <c:pt idx="6">
                  <c:v>2026</c:v>
                </c:pt>
                <c:pt idx="7">
                  <c:v>2027</c:v>
                </c:pt>
                <c:pt idx="8">
                  <c:v>2028</c:v>
                </c:pt>
                <c:pt idx="9">
                  <c:v>2029</c:v>
                </c:pt>
              </c:numCache>
            </c:numRef>
          </c:cat>
          <c:val>
            <c:numRef>
              <c:f>[0]!ChartNet_Income</c:f>
            </c:numRef>
          </c:val>
          <c:extLst>
            <c:ext xmlns:c16="http://schemas.microsoft.com/office/drawing/2014/chart" uri="{C3380CC4-5D6E-409C-BE32-E72D297353CC}">
              <c16:uniqueId val="{00000005-119A-437A-91BE-A5BAD8B1B5A2}"/>
            </c:ext>
          </c:extLst>
        </c:ser>
        <c:ser>
          <c:idx val="0"/>
          <c:order val="1"/>
          <c:tx>
            <c:strRef>
              <c:f>Analysis!$A$93</c:f>
              <c:strCache>
                <c:ptCount val="1"/>
                <c:pt idx="0">
                  <c:v>COGS</c:v>
                </c:pt>
              </c:strCache>
            </c:strRef>
          </c:tx>
          <c:spPr>
            <a:solidFill>
              <a:schemeClr val="accent1"/>
            </a:solidFill>
            <a:ln>
              <a:noFill/>
            </a:ln>
            <a:effectLst/>
          </c:spPr>
          <c:invertIfNegative val="0"/>
          <c:cat>
            <c:numRef>
              <c:f>Analysis!$E$7:$N$7</c:f>
              <c:numCache>
                <c:formatCode>General</c:formatCode>
                <c:ptCount val="10"/>
                <c:pt idx="0">
                  <c:v>2020</c:v>
                </c:pt>
                <c:pt idx="1">
                  <c:v>2021</c:v>
                </c:pt>
                <c:pt idx="2">
                  <c:v>2022</c:v>
                </c:pt>
                <c:pt idx="3">
                  <c:v>2023</c:v>
                </c:pt>
                <c:pt idx="4">
                  <c:v>2024</c:v>
                </c:pt>
                <c:pt idx="5">
                  <c:v>2025</c:v>
                </c:pt>
                <c:pt idx="6">
                  <c:v>2026</c:v>
                </c:pt>
                <c:pt idx="7">
                  <c:v>2027</c:v>
                </c:pt>
                <c:pt idx="8">
                  <c:v>2028</c:v>
                </c:pt>
                <c:pt idx="9">
                  <c:v>2029</c:v>
                </c:pt>
              </c:numCache>
            </c:numRef>
          </c:cat>
          <c:val>
            <c:numRef>
              <c:f>[0]!ChartCOGS</c:f>
            </c:numRef>
          </c:val>
          <c:extLst>
            <c:ext xmlns:c16="http://schemas.microsoft.com/office/drawing/2014/chart" uri="{C3380CC4-5D6E-409C-BE32-E72D297353CC}">
              <c16:uniqueId val="{00000000-119A-437A-91BE-A5BAD8B1B5A2}"/>
            </c:ext>
          </c:extLst>
        </c:ser>
        <c:ser>
          <c:idx val="1"/>
          <c:order val="2"/>
          <c:tx>
            <c:strRef>
              <c:f>Analysis!$A$94</c:f>
              <c:strCache>
                <c:ptCount val="1"/>
                <c:pt idx="0">
                  <c:v>Salaries</c:v>
                </c:pt>
              </c:strCache>
            </c:strRef>
          </c:tx>
          <c:spPr>
            <a:solidFill>
              <a:schemeClr val="accent2"/>
            </a:solidFill>
            <a:ln>
              <a:noFill/>
            </a:ln>
            <a:effectLst/>
          </c:spPr>
          <c:invertIfNegative val="0"/>
          <c:cat>
            <c:numRef>
              <c:f>Analysis!$E$7:$N$7</c:f>
              <c:numCache>
                <c:formatCode>General</c:formatCode>
                <c:ptCount val="10"/>
                <c:pt idx="0">
                  <c:v>2020</c:v>
                </c:pt>
                <c:pt idx="1">
                  <c:v>2021</c:v>
                </c:pt>
                <c:pt idx="2">
                  <c:v>2022</c:v>
                </c:pt>
                <c:pt idx="3">
                  <c:v>2023</c:v>
                </c:pt>
                <c:pt idx="4">
                  <c:v>2024</c:v>
                </c:pt>
                <c:pt idx="5">
                  <c:v>2025</c:v>
                </c:pt>
                <c:pt idx="6">
                  <c:v>2026</c:v>
                </c:pt>
                <c:pt idx="7">
                  <c:v>2027</c:v>
                </c:pt>
                <c:pt idx="8">
                  <c:v>2028</c:v>
                </c:pt>
                <c:pt idx="9">
                  <c:v>2029</c:v>
                </c:pt>
              </c:numCache>
            </c:numRef>
          </c:cat>
          <c:val>
            <c:numRef>
              <c:f>[0]!ChartSalaries</c:f>
            </c:numRef>
          </c:val>
          <c:extLst>
            <c:ext xmlns:c16="http://schemas.microsoft.com/office/drawing/2014/chart" uri="{C3380CC4-5D6E-409C-BE32-E72D297353CC}">
              <c16:uniqueId val="{00000001-119A-437A-91BE-A5BAD8B1B5A2}"/>
            </c:ext>
          </c:extLst>
        </c:ser>
        <c:ser>
          <c:idx val="2"/>
          <c:order val="3"/>
          <c:tx>
            <c:strRef>
              <c:f>Analysis!$A$95</c:f>
              <c:strCache>
                <c:ptCount val="1"/>
                <c:pt idx="0">
                  <c:v>Marketing</c:v>
                </c:pt>
              </c:strCache>
            </c:strRef>
          </c:tx>
          <c:spPr>
            <a:solidFill>
              <a:schemeClr val="accent3"/>
            </a:solidFill>
            <a:ln>
              <a:noFill/>
            </a:ln>
            <a:effectLst/>
          </c:spPr>
          <c:invertIfNegative val="0"/>
          <c:cat>
            <c:numRef>
              <c:f>Analysis!$E$7:$N$7</c:f>
              <c:numCache>
                <c:formatCode>General</c:formatCode>
                <c:ptCount val="10"/>
                <c:pt idx="0">
                  <c:v>2020</c:v>
                </c:pt>
                <c:pt idx="1">
                  <c:v>2021</c:v>
                </c:pt>
                <c:pt idx="2">
                  <c:v>2022</c:v>
                </c:pt>
                <c:pt idx="3">
                  <c:v>2023</c:v>
                </c:pt>
                <c:pt idx="4">
                  <c:v>2024</c:v>
                </c:pt>
                <c:pt idx="5">
                  <c:v>2025</c:v>
                </c:pt>
                <c:pt idx="6">
                  <c:v>2026</c:v>
                </c:pt>
                <c:pt idx="7">
                  <c:v>2027</c:v>
                </c:pt>
                <c:pt idx="8">
                  <c:v>2028</c:v>
                </c:pt>
                <c:pt idx="9">
                  <c:v>2029</c:v>
                </c:pt>
              </c:numCache>
            </c:numRef>
          </c:cat>
          <c:val>
            <c:numRef>
              <c:f>[0]!ChartMarketing</c:f>
            </c:numRef>
          </c:val>
          <c:extLst>
            <c:ext xmlns:c16="http://schemas.microsoft.com/office/drawing/2014/chart" uri="{C3380CC4-5D6E-409C-BE32-E72D297353CC}">
              <c16:uniqueId val="{00000002-119A-437A-91BE-A5BAD8B1B5A2}"/>
            </c:ext>
          </c:extLst>
        </c:ser>
        <c:ser>
          <c:idx val="3"/>
          <c:order val="4"/>
          <c:tx>
            <c:strRef>
              <c:f>Analysis!$A$96</c:f>
              <c:strCache>
                <c:ptCount val="1"/>
                <c:pt idx="0">
                  <c:v>Rent</c:v>
                </c:pt>
              </c:strCache>
            </c:strRef>
          </c:tx>
          <c:spPr>
            <a:solidFill>
              <a:schemeClr val="accent4"/>
            </a:solidFill>
            <a:ln>
              <a:noFill/>
            </a:ln>
            <a:effectLst/>
          </c:spPr>
          <c:invertIfNegative val="0"/>
          <c:cat>
            <c:numRef>
              <c:f>Analysis!$E$7:$N$7</c:f>
              <c:numCache>
                <c:formatCode>General</c:formatCode>
                <c:ptCount val="10"/>
                <c:pt idx="0">
                  <c:v>2020</c:v>
                </c:pt>
                <c:pt idx="1">
                  <c:v>2021</c:v>
                </c:pt>
                <c:pt idx="2">
                  <c:v>2022</c:v>
                </c:pt>
                <c:pt idx="3">
                  <c:v>2023</c:v>
                </c:pt>
                <c:pt idx="4">
                  <c:v>2024</c:v>
                </c:pt>
                <c:pt idx="5">
                  <c:v>2025</c:v>
                </c:pt>
                <c:pt idx="6">
                  <c:v>2026</c:v>
                </c:pt>
                <c:pt idx="7">
                  <c:v>2027</c:v>
                </c:pt>
                <c:pt idx="8">
                  <c:v>2028</c:v>
                </c:pt>
                <c:pt idx="9">
                  <c:v>2029</c:v>
                </c:pt>
              </c:numCache>
            </c:numRef>
          </c:cat>
          <c:val>
            <c:numRef>
              <c:f>[0]!ChartRent</c:f>
            </c:numRef>
          </c:val>
          <c:extLst>
            <c:ext xmlns:c16="http://schemas.microsoft.com/office/drawing/2014/chart" uri="{C3380CC4-5D6E-409C-BE32-E72D297353CC}">
              <c16:uniqueId val="{00000003-119A-437A-91BE-A5BAD8B1B5A2}"/>
            </c:ext>
          </c:extLst>
        </c:ser>
        <c:ser>
          <c:idx val="4"/>
          <c:order val="5"/>
          <c:tx>
            <c:strRef>
              <c:f>Analysis!$A$97</c:f>
              <c:strCache>
                <c:ptCount val="1"/>
                <c:pt idx="0">
                  <c:v>Tax</c:v>
                </c:pt>
              </c:strCache>
            </c:strRef>
          </c:tx>
          <c:spPr>
            <a:solidFill>
              <a:schemeClr val="accent5"/>
            </a:solidFill>
            <a:ln>
              <a:noFill/>
            </a:ln>
            <a:effectLst/>
          </c:spPr>
          <c:invertIfNegative val="0"/>
          <c:cat>
            <c:numRef>
              <c:f>Analysis!$E$7:$N$7</c:f>
              <c:numCache>
                <c:formatCode>General</c:formatCode>
                <c:ptCount val="10"/>
                <c:pt idx="0">
                  <c:v>2020</c:v>
                </c:pt>
                <c:pt idx="1">
                  <c:v>2021</c:v>
                </c:pt>
                <c:pt idx="2">
                  <c:v>2022</c:v>
                </c:pt>
                <c:pt idx="3">
                  <c:v>2023</c:v>
                </c:pt>
                <c:pt idx="4">
                  <c:v>2024</c:v>
                </c:pt>
                <c:pt idx="5">
                  <c:v>2025</c:v>
                </c:pt>
                <c:pt idx="6">
                  <c:v>2026</c:v>
                </c:pt>
                <c:pt idx="7">
                  <c:v>2027</c:v>
                </c:pt>
                <c:pt idx="8">
                  <c:v>2028</c:v>
                </c:pt>
                <c:pt idx="9">
                  <c:v>2029</c:v>
                </c:pt>
              </c:numCache>
            </c:numRef>
          </c:cat>
          <c:val>
            <c:numRef>
              <c:f>[0]!ChartTax</c:f>
            </c:numRef>
          </c:val>
          <c:extLst>
            <c:ext xmlns:c16="http://schemas.microsoft.com/office/drawing/2014/chart" uri="{C3380CC4-5D6E-409C-BE32-E72D297353CC}">
              <c16:uniqueId val="{00000004-119A-437A-91BE-A5BAD8B1B5A2}"/>
            </c:ext>
          </c:extLst>
        </c:ser>
        <c:dLbls>
          <c:showLegendKey val="0"/>
          <c:showVal val="0"/>
          <c:showCatName val="0"/>
          <c:showSerName val="0"/>
          <c:showPercent val="0"/>
          <c:showBubbleSize val="0"/>
        </c:dLbls>
        <c:gapWidth val="80"/>
        <c:overlap val="100"/>
        <c:axId val="813187248"/>
        <c:axId val="813183920"/>
      </c:barChart>
      <c:catAx>
        <c:axId val="8131872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813183920"/>
        <c:crosses val="autoZero"/>
        <c:auto val="1"/>
        <c:lblAlgn val="ctr"/>
        <c:lblOffset val="100"/>
        <c:noMultiLvlLbl val="0"/>
      </c:catAx>
      <c:valAx>
        <c:axId val="813183920"/>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813187248"/>
        <c:crosses val="autoZero"/>
        <c:crossBetween val="between"/>
      </c:valAx>
      <c:spPr>
        <a:noFill/>
        <a:ln>
          <a:noFill/>
        </a:ln>
        <a:effectLst/>
      </c:spPr>
    </c:plotArea>
    <c:legend>
      <c:legendPos val="b"/>
      <c:layout>
        <c:manualLayout>
          <c:xMode val="edge"/>
          <c:yMode val="edge"/>
          <c:x val="0.1367587489063867"/>
          <c:y val="5.6133712452610049E-2"/>
          <c:w val="0.85981583552055996"/>
          <c:h val="7.8125546806649182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fr-F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Analysis!$D$72</c:f>
              <c:strCache>
                <c:ptCount val="1"/>
              </c:strCache>
            </c:strRef>
          </c:tx>
          <c:spPr>
            <a:solidFill>
              <a:schemeClr val="accent1"/>
            </a:solidFill>
            <a:ln>
              <a:noFill/>
            </a:ln>
            <a:effectLst/>
          </c:spPr>
          <c:invertIfNegative val="0"/>
          <c:cat>
            <c:strRef>
              <c:f>Analysis!$C$73:$C$75</c:f>
            </c:strRef>
          </c:cat>
          <c:val>
            <c:numRef>
              <c:f>Analysis!$D$73:$D$75</c:f>
            </c:numRef>
          </c:val>
          <c:extLst>
            <c:ext xmlns:c16="http://schemas.microsoft.com/office/drawing/2014/chart" uri="{C3380CC4-5D6E-409C-BE32-E72D297353CC}">
              <c16:uniqueId val="{00000000-9EA1-EB47-90FB-BE759DBBD31D}"/>
            </c:ext>
          </c:extLst>
        </c:ser>
        <c:ser>
          <c:idx val="1"/>
          <c:order val="1"/>
          <c:tx>
            <c:strRef>
              <c:f>Analysis!$E$72</c:f>
              <c:strCache>
                <c:ptCount val="1"/>
                <c:pt idx="0">
                  <c:v>2020</c:v>
                </c:pt>
              </c:strCache>
            </c:strRef>
          </c:tx>
          <c:spPr>
            <a:solidFill>
              <a:schemeClr val="accent2"/>
            </a:solidFill>
            <a:ln>
              <a:noFill/>
            </a:ln>
            <a:effectLst/>
          </c:spPr>
          <c:invertIfNegative val="0"/>
          <c:cat>
            <c:strRef>
              <c:f>Analysis!$C$73:$C$75</c:f>
            </c:strRef>
          </c:cat>
          <c:val>
            <c:numRef>
              <c:f>Analysis!$E$73:$E$75</c:f>
            </c:numRef>
          </c:val>
          <c:extLst>
            <c:ext xmlns:c16="http://schemas.microsoft.com/office/drawing/2014/chart" uri="{C3380CC4-5D6E-409C-BE32-E72D297353CC}">
              <c16:uniqueId val="{00000001-9EA1-EB47-90FB-BE759DBBD31D}"/>
            </c:ext>
          </c:extLst>
        </c:ser>
        <c:ser>
          <c:idx val="2"/>
          <c:order val="2"/>
          <c:tx>
            <c:strRef>
              <c:f>Analysis!$F$72</c:f>
              <c:strCache>
                <c:ptCount val="1"/>
                <c:pt idx="0">
                  <c:v>2025</c:v>
                </c:pt>
              </c:strCache>
            </c:strRef>
          </c:tx>
          <c:spPr>
            <a:solidFill>
              <a:schemeClr val="accent3"/>
            </a:solidFill>
            <a:ln>
              <a:noFill/>
            </a:ln>
            <a:effectLst/>
          </c:spPr>
          <c:invertIfNegative val="0"/>
          <c:cat>
            <c:strRef>
              <c:f>Analysis!$C$73:$C$75</c:f>
            </c:strRef>
          </c:cat>
          <c:val>
            <c:numRef>
              <c:f>Analysis!$F$73:$F$75</c:f>
            </c:numRef>
          </c:val>
          <c:extLst>
            <c:ext xmlns:c16="http://schemas.microsoft.com/office/drawing/2014/chart" uri="{C3380CC4-5D6E-409C-BE32-E72D297353CC}">
              <c16:uniqueId val="{00000002-9EA1-EB47-90FB-BE759DBBD31D}"/>
            </c:ext>
          </c:extLst>
        </c:ser>
        <c:ser>
          <c:idx val="3"/>
          <c:order val="3"/>
          <c:tx>
            <c:strRef>
              <c:f>Analysis!$G$72</c:f>
              <c:strCache>
                <c:ptCount val="1"/>
                <c:pt idx="0">
                  <c:v>2029</c:v>
                </c:pt>
              </c:strCache>
            </c:strRef>
          </c:tx>
          <c:spPr>
            <a:solidFill>
              <a:schemeClr val="accent4"/>
            </a:solidFill>
            <a:ln>
              <a:noFill/>
            </a:ln>
            <a:effectLst/>
          </c:spPr>
          <c:invertIfNegative val="0"/>
          <c:cat>
            <c:strRef>
              <c:f>Analysis!$C$73:$C$75</c:f>
            </c:strRef>
          </c:cat>
          <c:val>
            <c:numRef>
              <c:f>Analysis!$G$73:$G$75</c:f>
            </c:numRef>
          </c:val>
          <c:extLst>
            <c:ext xmlns:c16="http://schemas.microsoft.com/office/drawing/2014/chart" uri="{C3380CC4-5D6E-409C-BE32-E72D297353CC}">
              <c16:uniqueId val="{00000003-9EA1-EB47-90FB-BE759DBBD31D}"/>
            </c:ext>
          </c:extLst>
        </c:ser>
        <c:dLbls>
          <c:showLegendKey val="0"/>
          <c:showVal val="0"/>
          <c:showCatName val="0"/>
          <c:showSerName val="0"/>
          <c:showPercent val="0"/>
          <c:showBubbleSize val="0"/>
        </c:dLbls>
        <c:gapWidth val="219"/>
        <c:overlap val="-27"/>
        <c:axId val="963512416"/>
        <c:axId val="1464056191"/>
      </c:barChart>
      <c:catAx>
        <c:axId val="9635124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4056191"/>
        <c:crosses val="autoZero"/>
        <c:auto val="1"/>
        <c:lblAlgn val="ctr"/>
        <c:lblOffset val="100"/>
        <c:noMultiLvlLbl val="0"/>
      </c:catAx>
      <c:valAx>
        <c:axId val="1464056191"/>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3512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Drop" dropLines="15" dropStyle="combo" dx="31" fmlaLink="$E$4" fmlaRange="'Raw Data'!$A$15:$A$24" noThreeD="1" sel="10" val="0"/>
</file>

<file path=xl/ctrlProps/ctrlProp2.xml><?xml version="1.0" encoding="utf-8"?>
<formControlPr xmlns="http://schemas.microsoft.com/office/spreadsheetml/2009/9/main" objectType="Drop" dropLines="15" dropStyle="combo" dx="31" fmlaLink="$H$2" fmlaRange="'Raw Data'!$A$15:$A$29" noThreeD="1" sel="10" val="0"/>
</file>

<file path=xl/ctrlProps/ctrlProp3.xml><?xml version="1.0" encoding="utf-8"?>
<formControlPr xmlns="http://schemas.microsoft.com/office/spreadsheetml/2009/9/main" objectType="Drop" dropLines="15" dropStyle="combo" dx="31" fmlaLink="$H$3" fmlaRange="'Raw Data'!$A$15:$A$29" noThreeD="1" sel="10" val="0"/>
</file>

<file path=xl/ctrlProps/ctrlProp4.xml><?xml version="1.0" encoding="utf-8"?>
<formControlPr xmlns="http://schemas.microsoft.com/office/spreadsheetml/2009/9/main" objectType="Drop" dropStyle="combo" dx="15" fmlaLink="A6" fmlaRange="$A$2:$A$4" sel="3" val="0"/>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163285</xdr:colOff>
      <xdr:row>99</xdr:row>
      <xdr:rowOff>30983</xdr:rowOff>
    </xdr:from>
    <xdr:to>
      <xdr:col>5</xdr:col>
      <xdr:colOff>562428</xdr:colOff>
      <xdr:row>114</xdr:row>
      <xdr:rowOff>157425</xdr:rowOff>
    </xdr:to>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533121</xdr:colOff>
      <xdr:row>98</xdr:row>
      <xdr:rowOff>100762</xdr:rowOff>
    </xdr:from>
    <xdr:to>
      <xdr:col>14</xdr:col>
      <xdr:colOff>471714</xdr:colOff>
      <xdr:row>114</xdr:row>
      <xdr:rowOff>52753</xdr:rowOff>
    </xdr:to>
    <xdr:graphicFrame macro="">
      <xdr:nvGraphicFramePr>
        <xdr:cNvPr id="3" name="Chart 2">
          <a:extLst>
            <a:ext uri="{FF2B5EF4-FFF2-40B4-BE49-F238E27FC236}">
              <a16:creationId xmlns:a16="http://schemas.microsoft.com/office/drawing/2014/main" id="{00000000-0008-0000-02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mc:AlternateContent xmlns:mc="http://schemas.openxmlformats.org/markup-compatibility/2006">
    <mc:Choice xmlns:a14="http://schemas.microsoft.com/office/drawing/2010/main" Requires="a14">
      <xdr:twoCellAnchor editAs="oneCell">
        <xdr:from>
          <xdr:col>1</xdr:col>
          <xdr:colOff>825500</xdr:colOff>
          <xdr:row>5</xdr:row>
          <xdr:rowOff>12700</xdr:rowOff>
        </xdr:from>
        <xdr:to>
          <xdr:col>3</xdr:col>
          <xdr:colOff>304800</xdr:colOff>
          <xdr:row>5</xdr:row>
          <xdr:rowOff>355600</xdr:rowOff>
        </xdr:to>
        <xdr:sp macro="" textlink="">
          <xdr:nvSpPr>
            <xdr:cNvPr id="2135" name="Drop Down 87" hidden="1">
              <a:extLst>
                <a:ext uri="{63B3BB69-23CF-44E3-9099-C40C66FF867C}">
                  <a14:compatExt spid="_x0000_s2135"/>
                </a:ext>
                <a:ext uri="{FF2B5EF4-FFF2-40B4-BE49-F238E27FC236}">
                  <a16:creationId xmlns:a16="http://schemas.microsoft.com/office/drawing/2014/main" id="{00000000-0008-0000-0200-000057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50800</xdr:colOff>
          <xdr:row>5</xdr:row>
          <xdr:rowOff>0</xdr:rowOff>
        </xdr:from>
        <xdr:to>
          <xdr:col>5</xdr:col>
          <xdr:colOff>436363</xdr:colOff>
          <xdr:row>5</xdr:row>
          <xdr:rowOff>342900</xdr:rowOff>
        </xdr:to>
        <xdr:sp macro="" textlink="">
          <xdr:nvSpPr>
            <xdr:cNvPr id="2143" name="Drop Down 95" hidden="1">
              <a:extLst>
                <a:ext uri="{63B3BB69-23CF-44E3-9099-C40C66FF867C}">
                  <a14:compatExt spid="_x0000_s2143"/>
                </a:ext>
                <a:ext uri="{FF2B5EF4-FFF2-40B4-BE49-F238E27FC236}">
                  <a16:creationId xmlns:a16="http://schemas.microsoft.com/office/drawing/2014/main" id="{00000000-0008-0000-0200-00005F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25400</xdr:colOff>
          <xdr:row>4</xdr:row>
          <xdr:rowOff>355600</xdr:rowOff>
        </xdr:from>
        <xdr:to>
          <xdr:col>9</xdr:col>
          <xdr:colOff>608612</xdr:colOff>
          <xdr:row>5</xdr:row>
          <xdr:rowOff>330200</xdr:rowOff>
        </xdr:to>
        <xdr:sp macro="" textlink="">
          <xdr:nvSpPr>
            <xdr:cNvPr id="2144" name="Drop Down 96" hidden="1">
              <a:extLst>
                <a:ext uri="{63B3BB69-23CF-44E3-9099-C40C66FF867C}">
                  <a14:compatExt spid="_x0000_s2144"/>
                </a:ext>
                <a:ext uri="{FF2B5EF4-FFF2-40B4-BE49-F238E27FC236}">
                  <a16:creationId xmlns:a16="http://schemas.microsoft.com/office/drawing/2014/main" id="{00000000-0008-0000-0200-000060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12700</xdr:rowOff>
        </xdr:from>
        <xdr:to>
          <xdr:col>1</xdr:col>
          <xdr:colOff>4284</xdr:colOff>
          <xdr:row>5</xdr:row>
          <xdr:rowOff>381000</xdr:rowOff>
        </xdr:to>
        <xdr:sp macro="" textlink="">
          <xdr:nvSpPr>
            <xdr:cNvPr id="2171" name="Drop Down 123" hidden="1">
              <a:extLst>
                <a:ext uri="{63B3BB69-23CF-44E3-9099-C40C66FF867C}">
                  <a14:compatExt spid="_x0000_s2171"/>
                </a:ext>
                <a:ext uri="{FF2B5EF4-FFF2-40B4-BE49-F238E27FC236}">
                  <a16:creationId xmlns:a16="http://schemas.microsoft.com/office/drawing/2014/main" id="{00000000-0008-0000-0200-00007B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twoCellAnchor>
    <xdr:from>
      <xdr:col>9</xdr:col>
      <xdr:colOff>285750</xdr:colOff>
      <xdr:row>77</xdr:row>
      <xdr:rowOff>130175</xdr:rowOff>
    </xdr:from>
    <xdr:to>
      <xdr:col>15</xdr:col>
      <xdr:colOff>539750</xdr:colOff>
      <xdr:row>123</xdr:row>
      <xdr:rowOff>28575</xdr:rowOff>
    </xdr:to>
    <xdr:graphicFrame macro="">
      <xdr:nvGraphicFramePr>
        <xdr:cNvPr id="25" name="Chart 24">
          <a:extLst>
            <a:ext uri="{FF2B5EF4-FFF2-40B4-BE49-F238E27FC236}">
              <a16:creationId xmlns:a16="http://schemas.microsoft.com/office/drawing/2014/main" id="{34A1D4FC-C460-E111-135C-1740017ACBC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DENG Chang" id="{405D90F4-2C5A-ED45-A6B7-A64E490B34B2}" userId="S::chang.deng@skema.edu::83c034dd-1bfb-405d-a08e-43e2ff5813a2"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Q72" dT="2025-01-30T21:00:14.83" personId="{405D90F4-2C5A-ED45-A6B7-A64E490B34B2}" id="{3E348E9E-DE32-C547-9D86-ED7C5B9CC16A}">
    <text xml:space="preserve">应该会但不想做
</text>
  </threadedComment>
  <threadedComment ref="N73" dT="2025-01-30T20:14:09.79" personId="{405D90F4-2C5A-ED45-A6B7-A64E490B34B2}" id="{6C6233A8-F824-3C45-A269-B5D941A0BB17}">
    <text xml:space="preserve">不会
</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 Id="rId9"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B2:L25"/>
  <sheetViews>
    <sheetView showGridLines="0" workbookViewId="0">
      <selection activeCell="E19" sqref="E19"/>
    </sheetView>
  </sheetViews>
  <sheetFormatPr baseColWidth="10" defaultColWidth="11.19921875" defaultRowHeight="14" x14ac:dyDescent="0.15"/>
  <cols>
    <col min="3" max="3" width="11.19921875" style="6"/>
  </cols>
  <sheetData>
    <row r="2" spans="2:12" x14ac:dyDescent="0.15">
      <c r="B2" s="4"/>
      <c r="C2" s="3"/>
      <c r="D2" s="4"/>
      <c r="E2" s="4"/>
      <c r="F2" s="4"/>
      <c r="G2" s="4"/>
      <c r="H2" s="4"/>
      <c r="I2" s="4"/>
      <c r="J2" s="4"/>
      <c r="K2" s="4"/>
      <c r="L2" s="4"/>
    </row>
    <row r="3" spans="2:12" x14ac:dyDescent="0.15">
      <c r="B3" s="4"/>
      <c r="C3" s="3"/>
      <c r="D3" s="4"/>
      <c r="E3" s="4"/>
      <c r="F3" s="4"/>
      <c r="G3" s="4"/>
      <c r="H3" s="4"/>
      <c r="I3" s="4"/>
      <c r="J3" s="4"/>
      <c r="K3" s="4"/>
      <c r="L3" s="4"/>
    </row>
    <row r="4" spans="2:12" ht="20" x14ac:dyDescent="0.2">
      <c r="B4" s="4"/>
      <c r="C4" s="5" t="s">
        <v>46</v>
      </c>
      <c r="D4" s="4"/>
      <c r="E4" s="4"/>
      <c r="F4" s="4"/>
      <c r="G4" s="4"/>
      <c r="H4" s="4"/>
      <c r="I4" s="4"/>
      <c r="J4" s="4"/>
      <c r="K4" s="4"/>
      <c r="L4" s="4"/>
    </row>
    <row r="5" spans="2:12" x14ac:dyDescent="0.15">
      <c r="B5" s="4"/>
      <c r="C5" s="3"/>
      <c r="D5" s="4"/>
      <c r="E5" s="4"/>
      <c r="F5" s="4"/>
      <c r="G5" s="4"/>
      <c r="H5" s="4"/>
      <c r="I5" s="4"/>
      <c r="J5" s="4"/>
      <c r="K5" s="4"/>
      <c r="L5" s="4"/>
    </row>
    <row r="6" spans="2:12" x14ac:dyDescent="0.15">
      <c r="B6" s="4"/>
      <c r="C6" s="3"/>
      <c r="D6" s="4"/>
      <c r="E6" s="4"/>
      <c r="F6" s="4"/>
      <c r="G6" s="4"/>
      <c r="H6" s="4"/>
      <c r="I6" s="4"/>
      <c r="J6" s="4"/>
      <c r="K6" s="4"/>
      <c r="L6" s="4"/>
    </row>
    <row r="7" spans="2:12" x14ac:dyDescent="0.15">
      <c r="B7" s="4"/>
      <c r="C7" s="3"/>
      <c r="D7" s="4"/>
      <c r="E7" s="4"/>
      <c r="F7" s="4"/>
      <c r="G7" s="4"/>
      <c r="H7" s="4"/>
      <c r="I7" s="4"/>
      <c r="J7" s="4"/>
      <c r="K7" s="4"/>
      <c r="L7" s="4"/>
    </row>
    <row r="8" spans="2:12" x14ac:dyDescent="0.15">
      <c r="B8" s="4"/>
      <c r="C8" s="3"/>
      <c r="D8" s="4"/>
      <c r="E8" s="4"/>
      <c r="F8" s="4"/>
      <c r="G8" s="4"/>
      <c r="H8" s="4"/>
      <c r="I8" s="4"/>
      <c r="J8" s="4"/>
      <c r="K8" s="4"/>
      <c r="L8" s="4"/>
    </row>
    <row r="9" spans="2:12" x14ac:dyDescent="0.15">
      <c r="B9" s="4"/>
      <c r="C9" s="3"/>
      <c r="D9" s="4"/>
      <c r="E9" s="4"/>
      <c r="F9" s="4"/>
      <c r="G9" s="4"/>
      <c r="H9" s="4"/>
      <c r="I9" s="4"/>
      <c r="J9" s="4"/>
      <c r="K9" s="4"/>
      <c r="L9" s="4"/>
    </row>
    <row r="10" spans="2:12" x14ac:dyDescent="0.15">
      <c r="B10" s="4"/>
      <c r="C10" s="2"/>
      <c r="D10" s="4"/>
      <c r="E10" s="4"/>
      <c r="F10" s="4"/>
      <c r="G10" s="4"/>
      <c r="H10" s="4"/>
      <c r="I10" s="4"/>
      <c r="J10" s="4"/>
      <c r="K10" s="4"/>
      <c r="L10" s="4"/>
    </row>
    <row r="11" spans="2:12" ht="18" x14ac:dyDescent="0.2">
      <c r="B11" s="4"/>
      <c r="C11" s="44" t="str" cm="1">
        <f t="array" aca="1" ref="C11" ca="1">RIGHT(CELL("filename",A9),LEN(CELL("filename",A9))-FIND("]",CELL("filename",A9)))</f>
        <v>Cover</v>
      </c>
      <c r="D11" s="4"/>
      <c r="E11" s="4"/>
      <c r="F11" s="4"/>
      <c r="G11" s="4"/>
      <c r="H11" s="4"/>
      <c r="I11" s="4"/>
      <c r="J11" s="4"/>
      <c r="K11" s="4"/>
      <c r="L11" s="4"/>
    </row>
    <row r="12" spans="2:12" ht="18" x14ac:dyDescent="0.2">
      <c r="B12" s="4"/>
      <c r="C12" s="44" t="str">
        <f ca="1">RIGHT(CELL("filename",Analysis!M2),LEN(CELL("filename",Analysis!M2))-FIND("]",CELL("filename",Analysis!M2)))</f>
        <v>Analysis</v>
      </c>
      <c r="D12" s="4"/>
      <c r="E12" s="3"/>
      <c r="F12" s="4"/>
      <c r="G12" s="4"/>
      <c r="H12" s="4"/>
      <c r="I12" s="4"/>
      <c r="J12" s="4"/>
      <c r="K12" s="4"/>
      <c r="L12" s="4"/>
    </row>
    <row r="13" spans="2:12" ht="18" x14ac:dyDescent="0.2">
      <c r="B13" s="4"/>
      <c r="C13" s="44" t="str" cm="1">
        <f t="array" aca="1" ref="C13" ca="1">RIGHT(CELL("filename",'Raw Data'!A14),LEN(CELL("filename",'Raw Data'!A14))-FIND("]",CELL("filename",'Raw Data'!A14)))</f>
        <v>Raw Data</v>
      </c>
      <c r="D13" s="4"/>
      <c r="E13" s="4" t="str" cm="1">
        <f t="array" aca="1" ref="E13" ca="1">CELL("filename",'Raw Data'!A1)</f>
        <v>/Users/alexdengmbp21/Library/Mobile Documents/com~apple~CloudDocs/Doc_high_freq/📋excel_templates/[company_vertical_analysis.xlsx]Raw Data</v>
      </c>
      <c r="F13" s="4"/>
      <c r="G13" s="4"/>
      <c r="H13" s="4"/>
      <c r="I13" s="4"/>
      <c r="J13" s="4"/>
      <c r="K13" s="4"/>
      <c r="L13" s="4"/>
    </row>
    <row r="14" spans="2:12" x14ac:dyDescent="0.15">
      <c r="B14" s="4"/>
      <c r="C14" s="4"/>
      <c r="D14" s="4"/>
      <c r="E14" s="4"/>
      <c r="F14" s="4"/>
      <c r="G14" s="4"/>
      <c r="H14" s="4"/>
      <c r="I14" s="4"/>
      <c r="J14" s="4"/>
      <c r="K14" s="4"/>
      <c r="L14" s="4"/>
    </row>
    <row r="15" spans="2:12" x14ac:dyDescent="0.15">
      <c r="B15" s="4"/>
      <c r="C15" s="3"/>
      <c r="D15" s="4"/>
      <c r="E15" s="4" cm="1">
        <f t="array" aca="1" ref="E15" ca="1">LEN(CELL("filename",'Raw Data'!A14))</f>
        <v>138</v>
      </c>
      <c r="F15" s="4"/>
      <c r="G15" s="4"/>
      <c r="H15" s="4"/>
      <c r="I15" s="4"/>
      <c r="J15" s="4"/>
      <c r="K15" s="4"/>
      <c r="L15" s="4"/>
    </row>
    <row r="16" spans="2:12" x14ac:dyDescent="0.15">
      <c r="B16" s="4"/>
      <c r="C16" s="3"/>
      <c r="D16" s="4"/>
      <c r="E16" s="4" cm="1">
        <f t="array" aca="1" ref="E16" ca="1">FIND("]",CELL("filename",'Raw Data'!A14))</f>
        <v>130</v>
      </c>
      <c r="F16" s="4"/>
      <c r="G16" s="4"/>
      <c r="H16" s="4"/>
      <c r="I16" s="4"/>
      <c r="J16" s="4"/>
      <c r="K16" s="4"/>
      <c r="L16" s="4"/>
    </row>
    <row r="17" spans="2:12" x14ac:dyDescent="0.15">
      <c r="B17" s="4"/>
      <c r="C17" s="3"/>
      <c r="D17" s="4"/>
      <c r="E17" s="4"/>
      <c r="F17" s="4"/>
      <c r="G17" s="4"/>
      <c r="H17" s="4"/>
      <c r="I17" s="4"/>
      <c r="J17" s="4"/>
      <c r="K17" s="4"/>
      <c r="L17" s="4"/>
    </row>
    <row r="18" spans="2:12" x14ac:dyDescent="0.15">
      <c r="B18" s="4"/>
      <c r="C18" s="4"/>
      <c r="D18" s="4"/>
      <c r="E18" s="4" t="str">
        <f ca="1">RIGHT(E13,E15-E16)</f>
        <v>Raw Data</v>
      </c>
      <c r="F18" s="4"/>
      <c r="G18" s="4"/>
      <c r="H18" s="4"/>
      <c r="I18" s="4"/>
      <c r="J18" s="4"/>
      <c r="K18" s="4"/>
      <c r="L18" s="4"/>
    </row>
    <row r="19" spans="2:12" x14ac:dyDescent="0.15">
      <c r="B19" s="4"/>
      <c r="C19" s="3"/>
      <c r="D19" s="4"/>
      <c r="E19" s="4"/>
      <c r="F19" s="4"/>
      <c r="G19" s="4"/>
      <c r="H19" s="4"/>
      <c r="I19" s="4"/>
      <c r="J19" s="4"/>
      <c r="K19" s="4"/>
      <c r="L19" s="4"/>
    </row>
    <row r="20" spans="2:12" x14ac:dyDescent="0.15">
      <c r="B20" s="4"/>
      <c r="C20" s="3"/>
      <c r="D20" s="4"/>
      <c r="E20" s="4"/>
      <c r="F20" s="4"/>
      <c r="G20" s="4"/>
      <c r="H20" s="4"/>
      <c r="I20" s="4"/>
      <c r="J20" s="4"/>
      <c r="K20" s="4"/>
      <c r="L20" s="4"/>
    </row>
    <row r="21" spans="2:12" x14ac:dyDescent="0.15">
      <c r="B21" s="4"/>
      <c r="C21" s="3"/>
      <c r="D21" s="4"/>
      <c r="E21" s="4"/>
      <c r="F21" s="4"/>
      <c r="G21" s="4"/>
      <c r="H21" s="4"/>
      <c r="I21" s="4"/>
      <c r="J21" s="4"/>
      <c r="K21" s="4"/>
      <c r="L21" s="4"/>
    </row>
    <row r="22" spans="2:12" x14ac:dyDescent="0.15">
      <c r="B22" s="4"/>
      <c r="C22" s="3"/>
      <c r="D22" s="4"/>
      <c r="E22" s="4"/>
      <c r="F22" s="4"/>
      <c r="G22" s="4"/>
      <c r="H22" s="4"/>
      <c r="I22" s="4"/>
      <c r="J22" s="4"/>
      <c r="K22" s="4"/>
      <c r="L22" s="4"/>
    </row>
    <row r="23" spans="2:12" x14ac:dyDescent="0.15">
      <c r="B23" s="4"/>
      <c r="C23" s="3"/>
      <c r="D23" s="4"/>
      <c r="E23" s="4"/>
      <c r="F23" s="4"/>
      <c r="G23" s="4"/>
      <c r="H23" s="4"/>
      <c r="I23" s="4"/>
      <c r="J23" s="4"/>
      <c r="K23" s="4"/>
      <c r="L23" s="4"/>
    </row>
    <row r="24" spans="2:12" x14ac:dyDescent="0.15">
      <c r="B24" s="4"/>
      <c r="C24" s="3"/>
      <c r="D24" s="4"/>
      <c r="E24" s="4"/>
      <c r="F24" s="4"/>
      <c r="G24" s="4"/>
      <c r="H24" s="4"/>
      <c r="I24" s="4"/>
      <c r="J24" s="4"/>
      <c r="K24" s="4"/>
      <c r="L24" s="4"/>
    </row>
    <row r="25" spans="2:12" x14ac:dyDescent="0.15">
      <c r="B25" s="4"/>
      <c r="C25" s="3"/>
      <c r="D25" s="4"/>
      <c r="E25" s="4"/>
      <c r="F25" s="4"/>
      <c r="G25" s="4"/>
      <c r="H25" s="4"/>
      <c r="I25" s="4"/>
      <c r="J25" s="4"/>
      <c r="K25" s="4"/>
      <c r="L25" s="4"/>
    </row>
  </sheetData>
  <hyperlinks>
    <hyperlink ref="C11" location="Cover!A1" display="Cover!A1" xr:uid="{C86D87B9-B0FE-4B63-9D06-5C9667FEE730}"/>
    <hyperlink ref="C12:C13" location="'Cover Page'!A1" display="'Cover Page'!A1" xr:uid="{3F563B68-2F2B-48F4-BCF4-BC2B35DB376D}"/>
    <hyperlink ref="C12" location="Analysis!A1" display="Analysis!A1" xr:uid="{CF3BF661-23D0-4BF2-B3C0-E557131055B6}"/>
    <hyperlink ref="C13" location="Data!A1" display="Data!A1" xr:uid="{84358FEF-676E-4725-8927-2C6FD43D04E0}"/>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U120"/>
  <sheetViews>
    <sheetView showGridLines="0" tabSelected="1" zoomScale="144" zoomScaleNormal="178" workbookViewId="0">
      <pane xSplit="14" ySplit="8" topLeftCell="O9" activePane="bottomRight" state="frozen"/>
      <selection pane="topRight" activeCell="O1" sqref="O1"/>
      <selection pane="bottomLeft" activeCell="A9" sqref="A9"/>
      <selection pane="bottomRight" activeCell="E68" sqref="E68"/>
    </sheetView>
  </sheetViews>
  <sheetFormatPr baseColWidth="10" defaultColWidth="8.796875" defaultRowHeight="14" outlineLevelRow="1" outlineLevelCol="1" x14ac:dyDescent="0.15"/>
  <cols>
    <col min="1" max="1" width="17.3984375" bestFit="1" customWidth="1"/>
    <col min="2" max="4" width="13.19921875" customWidth="1"/>
    <col min="5" max="5" width="15.796875" customWidth="1"/>
    <col min="6" max="7" width="9.796875" customWidth="1" outlineLevel="1"/>
    <col min="8" max="8" width="11.796875" customWidth="1" outlineLevel="1"/>
    <col min="9" max="9" width="11.796875" bestFit="1" customWidth="1"/>
    <col min="10" max="10" width="14.59765625" customWidth="1"/>
    <col min="11" max="11" width="11.796875" customWidth="1"/>
    <col min="12" max="13" width="9.796875" bestFit="1" customWidth="1"/>
    <col min="14" max="14" width="12.59765625" bestFit="1" customWidth="1"/>
    <col min="15" max="15" width="9.3984375" bestFit="1" customWidth="1"/>
    <col min="16" max="16" width="9.796875" bestFit="1" customWidth="1"/>
  </cols>
  <sheetData>
    <row r="1" spans="1:21" s="6" customFormat="1" x14ac:dyDescent="0.15">
      <c r="A1" s="2" t="s">
        <v>59</v>
      </c>
      <c r="B1" s="3"/>
      <c r="C1" s="3"/>
      <c r="D1" s="3"/>
      <c r="E1" s="45"/>
      <c r="F1" s="3"/>
      <c r="G1" s="3"/>
      <c r="H1" s="3"/>
      <c r="I1" s="3"/>
      <c r="J1" s="3"/>
      <c r="K1" s="3"/>
      <c r="L1" s="3"/>
      <c r="M1" s="3"/>
      <c r="N1" s="3"/>
      <c r="O1" s="3"/>
      <c r="P1" s="3"/>
      <c r="Q1" s="3"/>
      <c r="R1" s="3"/>
      <c r="S1" s="3"/>
      <c r="T1" s="3"/>
      <c r="U1" s="43">
        <v>3</v>
      </c>
    </row>
    <row r="2" spans="1:21" outlineLevel="1" x14ac:dyDescent="0.15">
      <c r="A2" s="8" t="s">
        <v>16</v>
      </c>
      <c r="B2" s="9">
        <v>1</v>
      </c>
      <c r="D2" t="s">
        <v>10</v>
      </c>
      <c r="E2" s="46">
        <v>44196</v>
      </c>
      <c r="G2" s="6" t="s">
        <v>13</v>
      </c>
      <c r="H2" s="56">
        <v>10</v>
      </c>
      <c r="J2" s="69" t="s">
        <v>72</v>
      </c>
      <c r="K2" s="69">
        <v>0.3</v>
      </c>
      <c r="U2" s="43"/>
    </row>
    <row r="3" spans="1:21" outlineLevel="1" x14ac:dyDescent="0.15">
      <c r="A3" s="8" t="s">
        <v>17</v>
      </c>
      <c r="B3" s="9">
        <v>1.1000000000000001</v>
      </c>
      <c r="D3" t="s">
        <v>11</v>
      </c>
      <c r="E3" s="47">
        <f>DATE(YEAR(E2)+$E$4-1,12,31)</f>
        <v>47483</v>
      </c>
      <c r="F3" s="13"/>
      <c r="G3" s="6" t="s">
        <v>14</v>
      </c>
      <c r="H3" s="56">
        <v>10</v>
      </c>
      <c r="U3" s="43"/>
    </row>
    <row r="4" spans="1:21" outlineLevel="1" x14ac:dyDescent="0.15">
      <c r="A4" s="8" t="s">
        <v>18</v>
      </c>
      <c r="B4" s="9">
        <v>0.9</v>
      </c>
      <c r="D4" s="6" t="s">
        <v>12</v>
      </c>
      <c r="E4" s="56">
        <v>10</v>
      </c>
      <c r="U4" s="43"/>
    </row>
    <row r="5" spans="1:21" ht="28.5" customHeight="1" x14ac:dyDescent="0.2">
      <c r="A5" s="7" t="s">
        <v>60</v>
      </c>
      <c r="B5" s="9"/>
      <c r="C5" s="7" t="s">
        <v>61</v>
      </c>
      <c r="E5" s="48" t="s">
        <v>62</v>
      </c>
      <c r="I5" s="7" t="s">
        <v>63</v>
      </c>
      <c r="U5" s="43"/>
    </row>
    <row r="6" spans="1:21" ht="32" customHeight="1" x14ac:dyDescent="0.15">
      <c r="A6" s="50">
        <v>3</v>
      </c>
      <c r="U6" s="43"/>
    </row>
    <row r="7" spans="1:21" x14ac:dyDescent="0.15">
      <c r="A7" s="10" t="s">
        <v>9</v>
      </c>
      <c r="B7" s="10"/>
      <c r="C7" s="10"/>
      <c r="D7" s="10"/>
      <c r="E7" s="10">
        <v>2020</v>
      </c>
      <c r="F7" s="10">
        <f>IF(E7&lt;YEAR($E$3),E7+1,"")</f>
        <v>2021</v>
      </c>
      <c r="G7" s="10">
        <f t="shared" ref="G7:N7" si="0">IF(F7&lt;YEAR($E$3),F7+1,"")</f>
        <v>2022</v>
      </c>
      <c r="H7" s="10">
        <f t="shared" si="0"/>
        <v>2023</v>
      </c>
      <c r="I7" s="10">
        <f t="shared" si="0"/>
        <v>2024</v>
      </c>
      <c r="J7" s="10">
        <f t="shared" si="0"/>
        <v>2025</v>
      </c>
      <c r="K7" s="10">
        <f t="shared" si="0"/>
        <v>2026</v>
      </c>
      <c r="L7" s="10">
        <f t="shared" si="0"/>
        <v>2027</v>
      </c>
      <c r="M7" s="10">
        <f t="shared" si="0"/>
        <v>2028</v>
      </c>
      <c r="N7" s="10">
        <f t="shared" si="0"/>
        <v>2029</v>
      </c>
      <c r="O7" s="10" t="s">
        <v>67</v>
      </c>
      <c r="P7" s="10" t="s">
        <v>67</v>
      </c>
      <c r="Q7" s="10" t="s">
        <v>67</v>
      </c>
      <c r="R7" s="10" t="s">
        <v>67</v>
      </c>
      <c r="S7" s="10" t="s">
        <v>67</v>
      </c>
      <c r="T7" s="10" t="s">
        <v>67</v>
      </c>
      <c r="U7" s="43"/>
    </row>
    <row r="8" spans="1:21" s="12" customFormat="1" x14ac:dyDescent="0.15">
      <c r="A8" s="11"/>
      <c r="B8" s="11" t="s">
        <v>13</v>
      </c>
      <c r="C8" s="11" t="s">
        <v>14</v>
      </c>
      <c r="D8" s="11"/>
      <c r="E8" s="49">
        <f>E2</f>
        <v>44196</v>
      </c>
      <c r="F8" s="49">
        <f>IFERROR(DATE(F7,12,31),"")</f>
        <v>44561</v>
      </c>
      <c r="G8" s="49">
        <f t="shared" ref="G8:T8" si="1">IFERROR(DATE(G7,12,31),"")</f>
        <v>44926</v>
      </c>
      <c r="H8" s="49">
        <f t="shared" si="1"/>
        <v>45291</v>
      </c>
      <c r="I8" s="49">
        <f t="shared" si="1"/>
        <v>45657</v>
      </c>
      <c r="J8" s="49">
        <f t="shared" si="1"/>
        <v>46022</v>
      </c>
      <c r="K8" s="49">
        <f t="shared" si="1"/>
        <v>46387</v>
      </c>
      <c r="L8" s="49">
        <f t="shared" si="1"/>
        <v>46752</v>
      </c>
      <c r="M8" s="49">
        <f t="shared" si="1"/>
        <v>47118</v>
      </c>
      <c r="N8" s="49">
        <f t="shared" si="1"/>
        <v>47483</v>
      </c>
      <c r="O8" s="49" t="str">
        <f t="shared" si="1"/>
        <v/>
      </c>
      <c r="P8" s="49" t="str">
        <f t="shared" si="1"/>
        <v/>
      </c>
      <c r="Q8" s="49" t="str">
        <f t="shared" si="1"/>
        <v/>
      </c>
      <c r="R8" s="49" t="str">
        <f t="shared" si="1"/>
        <v/>
      </c>
      <c r="S8" s="49" t="str">
        <f t="shared" si="1"/>
        <v/>
      </c>
      <c r="T8" s="49" t="str">
        <f t="shared" si="1"/>
        <v/>
      </c>
      <c r="U8" s="53"/>
    </row>
    <row r="10" spans="1:21" s="6" customFormat="1" x14ac:dyDescent="0.15">
      <c r="A10" s="2" t="s">
        <v>19</v>
      </c>
      <c r="B10" s="55"/>
      <c r="C10" s="3"/>
      <c r="D10" s="3"/>
      <c r="E10" s="3"/>
      <c r="F10" s="3"/>
      <c r="G10" s="3"/>
      <c r="H10" s="3"/>
      <c r="I10" s="3"/>
      <c r="J10" s="3"/>
      <c r="K10" s="3"/>
      <c r="L10" s="3"/>
      <c r="M10" s="3"/>
      <c r="N10" s="3"/>
      <c r="O10" s="3"/>
      <c r="P10" s="55"/>
      <c r="Q10" s="3"/>
      <c r="R10" s="3"/>
      <c r="S10" s="3"/>
      <c r="T10" s="55"/>
    </row>
    <row r="11" spans="1:21" outlineLevel="1" x14ac:dyDescent="0.15"/>
    <row r="12" spans="1:21" outlineLevel="1" x14ac:dyDescent="0.15">
      <c r="A12" s="58" t="s">
        <v>15</v>
      </c>
      <c r="B12" s="13"/>
      <c r="P12" s="1"/>
      <c r="Q12" s="16"/>
    </row>
    <row r="13" spans="1:21" outlineLevel="1" x14ac:dyDescent="0.15">
      <c r="A13" t="s">
        <v>68</v>
      </c>
      <c r="B13" s="13">
        <f ca="1">SUM(E13:OFFSET(E13,0,$H$2-1))</f>
        <v>1556500</v>
      </c>
      <c r="C13" s="14">
        <f ca="1">AVERAGE(E13:OFFSET(E13,0,$H$3-1))</f>
        <v>155650</v>
      </c>
      <c r="E13" s="15">
        <f>'Raw Data'!B3</f>
        <v>100500</v>
      </c>
      <c r="F13" s="15">
        <f>IFERROR(IF(YEAR(F$7) &lt; YEAR($E$3), 'Raw Data'!C3,""), "")</f>
        <v>110148</v>
      </c>
      <c r="G13" s="15">
        <f>IFERROR(IF(YEAR(G$7) &lt; YEAR($E$3), 'Raw Data'!D3,""), "")</f>
        <v>120832</v>
      </c>
      <c r="H13" s="15">
        <f>IFERROR(IF(YEAR(H$7) &lt; YEAR($E$3), 'Raw Data'!E3,""), "")</f>
        <v>131707</v>
      </c>
      <c r="I13" s="15">
        <f>IFERROR(IF(YEAR(I$7) &lt; YEAR($E$3), 'Raw Data'!F3,""), "")</f>
        <v>142244</v>
      </c>
      <c r="J13" s="15">
        <f>IFERROR(IF(YEAR(J$7) &lt; YEAR($E$3), 'Raw Data'!G3,""), "")</f>
        <v>156253</v>
      </c>
      <c r="K13" s="15">
        <f>IFERROR(IF(YEAR(K$7) &lt; YEAR($E$3), 'Raw Data'!H3,""), "")</f>
        <v>171642</v>
      </c>
      <c r="L13" s="15">
        <f>IFERROR(IF(YEAR(L$7) &lt; YEAR($E$3), 'Raw Data'!I3,""), "")</f>
        <v>188546</v>
      </c>
      <c r="M13" s="15">
        <f>IFERROR(IF(YEAR(M$7) &lt; YEAR($E$3), 'Raw Data'!J3,""), "")</f>
        <v>207115</v>
      </c>
      <c r="N13" s="15">
        <f>IFERROR(IF(YEAR(N$7) &lt; YEAR($E$3), 'Raw Data'!K3,""), "")</f>
        <v>227513</v>
      </c>
    </row>
    <row r="14" spans="1:21" outlineLevel="1" x14ac:dyDescent="0.15">
      <c r="A14" t="s">
        <v>69</v>
      </c>
      <c r="B14" s="13">
        <f ca="1">SUM(E14:OFFSET(E14,0,$H$2-1))</f>
        <v>1712150.0000000002</v>
      </c>
      <c r="C14" s="14">
        <f ca="1">AVERAGE(E14:OFFSET(E14,0,$H$3-1))</f>
        <v>171215.00000000003</v>
      </c>
      <c r="E14" s="16">
        <f>E13*$B$3</f>
        <v>110550.00000000001</v>
      </c>
      <c r="F14" s="16">
        <f>IFERROR(IF(YEAR(F$7) &lt; YEAR($E$3), 'Raw Data'!C3*1.1,""), "")</f>
        <v>121162.8</v>
      </c>
      <c r="G14" s="16">
        <f>IFERROR(IF(YEAR(G$7) &lt; YEAR($E$3), 'Raw Data'!D3*1.1,""), "")</f>
        <v>132915.20000000001</v>
      </c>
      <c r="H14" s="16">
        <f>IFERROR(IF(YEAR(H$7) &lt; YEAR($E$3), 'Raw Data'!E3*1.1,""), "")</f>
        <v>144877.70000000001</v>
      </c>
      <c r="I14" s="16">
        <f>IFERROR(IF(YEAR(I$7) &lt; YEAR($E$3), 'Raw Data'!F3*1.1,""), "")</f>
        <v>156468.40000000002</v>
      </c>
      <c r="J14" s="16">
        <f>IFERROR(IF(YEAR(J$7) &lt; YEAR($E$3), 'Raw Data'!G3*1.1,""), "")</f>
        <v>171878.30000000002</v>
      </c>
      <c r="K14" s="16">
        <f>IFERROR(IF(YEAR(K$7) &lt; YEAR($E$3), 'Raw Data'!H3*1.1,""), "")</f>
        <v>188806.2</v>
      </c>
      <c r="L14" s="16">
        <f>IFERROR(IF(YEAR(L$7) &lt; YEAR($E$3), 'Raw Data'!I3*1.1,""), "")</f>
        <v>207400.6</v>
      </c>
      <c r="M14" s="16">
        <f>IFERROR(IF(YEAR(M$7) &lt; YEAR($E$3), 'Raw Data'!J3*1.1,""), "")</f>
        <v>227826.50000000003</v>
      </c>
      <c r="N14" s="16">
        <f>IFERROR(IF(YEAR(N$7) &lt; YEAR($E$3), 'Raw Data'!K3*1.1,""), "")</f>
        <v>250264.30000000002</v>
      </c>
    </row>
    <row r="15" spans="1:21" outlineLevel="1" x14ac:dyDescent="0.15">
      <c r="A15" t="s">
        <v>70</v>
      </c>
      <c r="B15" s="13">
        <f ca="1">SUM(E15:OFFSET(E15,0,$H$2-1))</f>
        <v>1400850.0000000002</v>
      </c>
      <c r="C15" s="14">
        <f ca="1">AVERAGE(E15:OFFSET(E15,0,$H$3-1))</f>
        <v>140085.00000000003</v>
      </c>
      <c r="E15" s="16">
        <f>E13*$B$4</f>
        <v>90450</v>
      </c>
      <c r="F15" s="16">
        <f>IFERROR(IF(YEAR(F$7) &lt; YEAR($E$3), 'Raw Data'!C3*0.9,""), "")</f>
        <v>99133.2</v>
      </c>
      <c r="G15" s="16">
        <f>IFERROR(IF(YEAR(G$7) &lt; YEAR($E$3), 'Raw Data'!D3*0.9,""), "")</f>
        <v>108748.8</v>
      </c>
      <c r="H15" s="16">
        <f>IFERROR(IF(YEAR(H$7) &lt; YEAR($E$3), 'Raw Data'!E3*0.9,""), "")</f>
        <v>118536.3</v>
      </c>
      <c r="I15" s="16">
        <f>IFERROR(IF(YEAR(I$7) &lt; YEAR($E$3), 'Raw Data'!F3*0.9,""), "")</f>
        <v>128019.6</v>
      </c>
      <c r="J15" s="16">
        <f>IFERROR(IF(YEAR(J$7) &lt; YEAR($E$3), 'Raw Data'!G3*0.9,""), "")</f>
        <v>140627.70000000001</v>
      </c>
      <c r="K15" s="16">
        <f>IFERROR(IF(YEAR(K$7) &lt; YEAR($E$3), 'Raw Data'!H3*0.9,""), "")</f>
        <v>154477.80000000002</v>
      </c>
      <c r="L15" s="16">
        <f>IFERROR(IF(YEAR(L$7) &lt; YEAR($E$3), 'Raw Data'!I3*0.9,""), "")</f>
        <v>169691.4</v>
      </c>
      <c r="M15" s="16">
        <f>IFERROR(IF(YEAR(M$7) &lt; YEAR($E$3), 'Raw Data'!J3*0.9,""), "")</f>
        <v>186403.5</v>
      </c>
      <c r="N15" s="16">
        <f>IFERROR(IF(YEAR(N$7) &lt; YEAR($E$3), 'Raw Data'!K3*0.9,""), "")</f>
        <v>204761.7</v>
      </c>
    </row>
    <row r="16" spans="1:21" ht="15" outlineLevel="1" thickBot="1" x14ac:dyDescent="0.2">
      <c r="A16" s="60" t="s">
        <v>65</v>
      </c>
      <c r="B16" s="61">
        <f ca="1">SUM(E16:OFFSET(E16,0,$H$2-1))</f>
        <v>1400850.0000000002</v>
      </c>
      <c r="C16" s="61">
        <f ca="1">AVERAGE(E16:OFFSET(E16,0,$H$3-1))</f>
        <v>140085.00000000003</v>
      </c>
      <c r="D16" s="61"/>
      <c r="E16" s="62">
        <f>CHOOSE($A$6,E13,E14,E15)</f>
        <v>90450</v>
      </c>
      <c r="F16" s="62">
        <f t="shared" ref="F16:N16" si="2">CHOOSE($A$6,F13,F14,F15)</f>
        <v>99133.2</v>
      </c>
      <c r="G16" s="62">
        <f t="shared" si="2"/>
        <v>108748.8</v>
      </c>
      <c r="H16" s="62">
        <f t="shared" si="2"/>
        <v>118536.3</v>
      </c>
      <c r="I16" s="62">
        <f t="shared" si="2"/>
        <v>128019.6</v>
      </c>
      <c r="J16" s="62">
        <f t="shared" si="2"/>
        <v>140627.70000000001</v>
      </c>
      <c r="K16" s="62">
        <f t="shared" si="2"/>
        <v>154477.80000000002</v>
      </c>
      <c r="L16" s="62">
        <f t="shared" si="2"/>
        <v>169691.4</v>
      </c>
      <c r="M16" s="62">
        <f t="shared" si="2"/>
        <v>186403.5</v>
      </c>
      <c r="N16" s="62">
        <f t="shared" si="2"/>
        <v>204761.7</v>
      </c>
      <c r="O16" s="17"/>
      <c r="P16" s="17"/>
      <c r="Q16" s="17"/>
      <c r="R16" s="17"/>
      <c r="S16" s="17"/>
      <c r="T16" s="17"/>
    </row>
    <row r="17" spans="1:20" ht="15" outlineLevel="1" thickTop="1" x14ac:dyDescent="0.15"/>
    <row r="18" spans="1:20" outlineLevel="1" x14ac:dyDescent="0.15">
      <c r="A18" t="s">
        <v>0</v>
      </c>
      <c r="B18" s="13">
        <f ca="1">SUM(E18:OFFSET(E18,0,$H$2-1))</f>
        <v>1400850.0000000002</v>
      </c>
      <c r="C18" s="14">
        <f ca="1">AVERAGE(E18:OFFSET(E18,0,$H$3-1))</f>
        <v>140085.00000000003</v>
      </c>
      <c r="D18" s="13"/>
      <c r="E18" s="16">
        <f>E16</f>
        <v>90450</v>
      </c>
      <c r="F18" s="16">
        <f>IFERROR(IF(YEAR(F$7) &lt; YEAR($E$3),F16,""), "")</f>
        <v>99133.2</v>
      </c>
      <c r="G18" s="16">
        <f t="shared" ref="G18:N18" si="3">IFERROR(IF(YEAR(G$7) &lt; YEAR($E$3),G16,""), "")</f>
        <v>108748.8</v>
      </c>
      <c r="H18" s="16">
        <f t="shared" si="3"/>
        <v>118536.3</v>
      </c>
      <c r="I18" s="16">
        <f t="shared" si="3"/>
        <v>128019.6</v>
      </c>
      <c r="J18" s="16">
        <f t="shared" si="3"/>
        <v>140627.70000000001</v>
      </c>
      <c r="K18" s="16">
        <f t="shared" si="3"/>
        <v>154477.80000000002</v>
      </c>
      <c r="L18" s="16">
        <f t="shared" si="3"/>
        <v>169691.4</v>
      </c>
      <c r="M18" s="16">
        <f t="shared" si="3"/>
        <v>186403.5</v>
      </c>
      <c r="N18" s="16">
        <f t="shared" si="3"/>
        <v>204761.7</v>
      </c>
    </row>
    <row r="19" spans="1:20" outlineLevel="1" x14ac:dyDescent="0.15">
      <c r="A19" t="s">
        <v>1</v>
      </c>
      <c r="B19" s="13">
        <f ca="1">SUM(E19:OFFSET(E19,0,$H$2-1))</f>
        <v>630773</v>
      </c>
      <c r="C19" s="14">
        <f ca="1">AVERAGE(E19:OFFSET(E19,0,$H$3-1))</f>
        <v>63077.3</v>
      </c>
      <c r="D19" s="13"/>
      <c r="E19" s="15">
        <f>'Raw Data'!B4</f>
        <v>38672</v>
      </c>
      <c r="F19" s="15">
        <f>IFERROR(IF(YEAR(F$7) &lt; YEAR($E$3),'Raw Data'!C4,""), "")</f>
        <v>43486</v>
      </c>
      <c r="G19" s="15">
        <f>IFERROR(IF(YEAR(G$7) &lt; YEAR($E$3),'Raw Data'!D4,""), "")</f>
        <v>48333</v>
      </c>
      <c r="H19" s="15">
        <f>IFERROR(IF(YEAR(H$7) &lt; YEAR($E$3),'Raw Data'!E4,""), "")</f>
        <v>52024</v>
      </c>
      <c r="I19" s="15">
        <f>IFERROR(IF(YEAR(I$7) &lt; YEAR($E$3),'Raw Data'!F4,""), "")</f>
        <v>58320</v>
      </c>
      <c r="J19" s="15">
        <f>IFERROR(IF(YEAR(J$7) &lt; YEAR($E$3),'Raw Data'!G4,""), "")</f>
        <v>64064</v>
      </c>
      <c r="K19" s="15">
        <f>IFERROR(IF(YEAR(K$7) &lt; YEAR($E$3),'Raw Data'!H4,""), "")</f>
        <v>70373</v>
      </c>
      <c r="L19" s="15">
        <f>IFERROR(IF(YEAR(L$7) &lt; YEAR($E$3),'Raw Data'!I4,""), "")</f>
        <v>77304</v>
      </c>
      <c r="M19" s="15">
        <f>IFERROR(IF(YEAR(M$7) &lt; YEAR($E$3),'Raw Data'!J4,""), "")</f>
        <v>84917</v>
      </c>
      <c r="N19" s="15">
        <f>IFERROR(IF(YEAR(N$7) &lt; YEAR($E$3),'Raw Data'!K4,""), "")</f>
        <v>93280</v>
      </c>
    </row>
    <row r="20" spans="1:20" outlineLevel="1" x14ac:dyDescent="0.15">
      <c r="A20" t="s">
        <v>2</v>
      </c>
      <c r="B20" s="13">
        <f ca="1">SUM(E20:OFFSET(E20,0,$H$2-1))</f>
        <v>770077</v>
      </c>
      <c r="C20" s="14">
        <f ca="1">AVERAGE(E20:OFFSET(E20,0,$H$3-1))</f>
        <v>77007.7</v>
      </c>
      <c r="D20" s="13"/>
      <c r="E20" s="16">
        <f>E18-E19</f>
        <v>51778</v>
      </c>
      <c r="F20" s="16">
        <f>IFERROR(IF(YEAR(F$7) &lt; YEAR($E$3),F18-F19,""), "")</f>
        <v>55647.199999999997</v>
      </c>
      <c r="G20" s="16">
        <f t="shared" ref="G20:N20" si="4">IFERROR(IF(YEAR(G$7) &lt; YEAR($E$3),G18-G19,""), "")</f>
        <v>60415.8</v>
      </c>
      <c r="H20" s="16">
        <f t="shared" si="4"/>
        <v>66512.3</v>
      </c>
      <c r="I20" s="16">
        <f t="shared" si="4"/>
        <v>69699.600000000006</v>
      </c>
      <c r="J20" s="16">
        <f t="shared" si="4"/>
        <v>76563.700000000012</v>
      </c>
      <c r="K20" s="16">
        <f t="shared" si="4"/>
        <v>84104.800000000017</v>
      </c>
      <c r="L20" s="16">
        <f t="shared" si="4"/>
        <v>92387.4</v>
      </c>
      <c r="M20" s="16">
        <f t="shared" si="4"/>
        <v>101486.5</v>
      </c>
      <c r="N20" s="16">
        <f t="shared" si="4"/>
        <v>111481.70000000001</v>
      </c>
    </row>
    <row r="21" spans="1:20" outlineLevel="1" x14ac:dyDescent="0.15">
      <c r="A21" t="s">
        <v>3</v>
      </c>
      <c r="B21" s="13">
        <f ca="1">SUM(E21:OFFSET(E21,0,$H$2-1))</f>
        <v>335283</v>
      </c>
      <c r="C21" s="14">
        <f ca="1">AVERAGE(E21:OFFSET(E21,0,$H$3-1))</f>
        <v>33528.300000000003</v>
      </c>
      <c r="D21" s="13"/>
      <c r="E21" s="15">
        <f>'Raw Data'!B6</f>
        <v>23789</v>
      </c>
      <c r="F21" s="15">
        <f>IFERROR(IF(YEAR(F$7) &lt; YEAR($E$3),'Raw Data'!C6,""), "")</f>
        <v>26812</v>
      </c>
      <c r="G21" s="15">
        <f>IFERROR(IF(YEAR(G$7) &lt; YEAR($E$3),'Raw Data'!D6,""), "")</f>
        <v>27859</v>
      </c>
      <c r="H21" s="15">
        <f>IFERROR(IF(YEAR(H$7) &lt; YEAR($E$3),'Raw Data'!E6,""), "")</f>
        <v>28859</v>
      </c>
      <c r="I21" s="15">
        <f>IFERROR(IF(YEAR(I$7) &lt; YEAR($E$3),'Raw Data'!F6,""), "")</f>
        <v>29659</v>
      </c>
      <c r="J21" s="15">
        <f>IFERROR(IF(YEAR(J$7) &lt; YEAR($E$3),'Raw Data'!G6,""), "")</f>
        <v>32580</v>
      </c>
      <c r="K21" s="15">
        <f>IFERROR(IF(YEAR(K$7) &lt; YEAR($E$3),'Raw Data'!H6,""), "")</f>
        <v>35789</v>
      </c>
      <c r="L21" s="15">
        <f>IFERROR(IF(YEAR(L$7) &lt; YEAR($E$3),'Raw Data'!I6,""), "")</f>
        <v>39313</v>
      </c>
      <c r="M21" s="15">
        <f>IFERROR(IF(YEAR(M$7) &lt; YEAR($E$3),'Raw Data'!J6,""), "")</f>
        <v>43185</v>
      </c>
      <c r="N21" s="15">
        <f>IFERROR(IF(YEAR(N$7) &lt; YEAR($E$3),'Raw Data'!K6,""), "")</f>
        <v>47438</v>
      </c>
    </row>
    <row r="22" spans="1:20" outlineLevel="1" x14ac:dyDescent="0.15">
      <c r="A22" t="s">
        <v>4</v>
      </c>
      <c r="B22" s="13">
        <f ca="1">SUM(E22:OFFSET(E22,0,$H$2-1))</f>
        <v>215421</v>
      </c>
      <c r="C22" s="14">
        <f ca="1">AVERAGE(E22:OFFSET(E22,0,$H$3-1))</f>
        <v>21542.1</v>
      </c>
      <c r="D22" s="13"/>
      <c r="E22" s="15">
        <f>'Raw Data'!B7</f>
        <v>12871</v>
      </c>
      <c r="F22" s="15">
        <f>IFERROR(IF(YEAR(F$7) &lt; YEAR($E$3),'Raw Data'!C7,""), "")</f>
        <v>13897</v>
      </c>
      <c r="G22" s="15">
        <f>IFERROR(IF(YEAR(G$7) &lt; YEAR($E$3),'Raw Data'!D7,""), "")</f>
        <v>18652</v>
      </c>
      <c r="H22" s="15">
        <f>IFERROR(IF(YEAR(H$7) &lt; YEAR($E$3),'Raw Data'!E7,""), "")</f>
        <v>18952</v>
      </c>
      <c r="I22" s="15">
        <f>IFERROR(IF(YEAR(I$7) &lt; YEAR($E$3),'Raw Data'!F7,""), "")</f>
        <v>19652</v>
      </c>
      <c r="J22" s="15">
        <f>IFERROR(IF(YEAR(J$7) &lt; YEAR($E$3),'Raw Data'!G7,""), "")</f>
        <v>21587</v>
      </c>
      <c r="K22" s="15">
        <f>IFERROR(IF(YEAR(K$7) &lt; YEAR($E$3),'Raw Data'!H7,""), "")</f>
        <v>23714</v>
      </c>
      <c r="L22" s="15">
        <f>IFERROR(IF(YEAR(L$7) &lt; YEAR($E$3),'Raw Data'!I7,""), "")</f>
        <v>26049</v>
      </c>
      <c r="M22" s="15">
        <f>IFERROR(IF(YEAR(M$7) &lt; YEAR($E$3),'Raw Data'!J7,""), "")</f>
        <v>28614</v>
      </c>
      <c r="N22" s="15">
        <f>IFERROR(IF(YEAR(N$7) &lt; YEAR($E$3),'Raw Data'!K7,""), "")</f>
        <v>31433</v>
      </c>
      <c r="O22" s="63">
        <v>1</v>
      </c>
    </row>
    <row r="23" spans="1:20" outlineLevel="1" x14ac:dyDescent="0.15">
      <c r="A23" t="s">
        <v>5</v>
      </c>
      <c r="B23" s="13">
        <f ca="1">SUM(E23:OFFSET(E23,0,$H$2-1))</f>
        <v>59299</v>
      </c>
      <c r="C23" s="14">
        <f ca="1">AVERAGE(E23:OFFSET(E23,0,$H$3-1))</f>
        <v>5929.9</v>
      </c>
      <c r="D23" s="13"/>
      <c r="E23" s="15">
        <f>'Raw Data'!B8</f>
        <v>5000</v>
      </c>
      <c r="F23" s="15">
        <f>IFERROR(IF(YEAR(F$7) &lt; YEAR($E$3),'Raw Data'!C8,""), "")</f>
        <v>5000</v>
      </c>
      <c r="G23" s="15">
        <f>IFERROR(IF(YEAR(G$7) &lt; YEAR($E$3),'Raw Data'!D8,""), "")</f>
        <v>5000</v>
      </c>
      <c r="H23" s="15">
        <f>IFERROR(IF(YEAR(H$7) &lt; YEAR($E$3),'Raw Data'!E8,""), "")</f>
        <v>5100</v>
      </c>
      <c r="I23" s="15">
        <f>IFERROR(IF(YEAR(I$7) &lt; YEAR($E$3),'Raw Data'!F8,""), "")</f>
        <v>5100</v>
      </c>
      <c r="J23" s="15">
        <f>IFERROR(IF(YEAR(J$7) &lt; YEAR($E$3),'Raw Data'!G8,""), "")</f>
        <v>5602</v>
      </c>
      <c r="K23" s="15">
        <f>IFERROR(IF(YEAR(K$7) &lt; YEAR($E$3),'Raw Data'!H8,""), "")</f>
        <v>6154</v>
      </c>
      <c r="L23" s="15">
        <f>IFERROR(IF(YEAR(L$7) &lt; YEAR($E$3),'Raw Data'!I8,""), "")</f>
        <v>6760</v>
      </c>
      <c r="M23" s="15">
        <f>IFERROR(IF(YEAR(M$7) &lt; YEAR($E$3),'Raw Data'!J8,""), "")</f>
        <v>7426</v>
      </c>
      <c r="N23" s="15">
        <f>IFERROR(IF(YEAR(N$7) &lt; YEAR($E$3),'Raw Data'!K8,""), "")</f>
        <v>8157</v>
      </c>
    </row>
    <row r="24" spans="1:20" outlineLevel="1" x14ac:dyDescent="0.15">
      <c r="A24" t="s">
        <v>6</v>
      </c>
      <c r="B24" s="13">
        <f ca="1">SUM(E24:OFFSET(E24,0,$H$2-1))</f>
        <v>160074.00000000006</v>
      </c>
      <c r="C24" s="14">
        <f ca="1">AVERAGE(E24:OFFSET(E24,0,$H$3-1))</f>
        <v>16007.400000000005</v>
      </c>
      <c r="D24" s="13"/>
      <c r="E24" s="16">
        <f>E20-E21-E22-E23</f>
        <v>10118</v>
      </c>
      <c r="F24" s="16">
        <f>IFERROR(IF(YEAR(F$7) &lt; YEAR($E$3),F20-F21-F22-F23,""), "")</f>
        <v>9938.1999999999971</v>
      </c>
      <c r="G24" s="16">
        <f t="shared" ref="G24:N24" si="5">IFERROR(IF(YEAR(G$7) &lt; YEAR($E$3),G20-G21-G22-G23,""), "")</f>
        <v>8904.8000000000029</v>
      </c>
      <c r="H24" s="16">
        <f t="shared" si="5"/>
        <v>13601.300000000003</v>
      </c>
      <c r="I24" s="16">
        <f t="shared" si="5"/>
        <v>15288.600000000006</v>
      </c>
      <c r="J24" s="16">
        <f t="shared" si="5"/>
        <v>16794.700000000012</v>
      </c>
      <c r="K24" s="16">
        <f t="shared" si="5"/>
        <v>18447.800000000017</v>
      </c>
      <c r="L24" s="16">
        <f t="shared" si="5"/>
        <v>20265.399999999994</v>
      </c>
      <c r="M24" s="16">
        <f t="shared" si="5"/>
        <v>22261.5</v>
      </c>
      <c r="N24" s="16">
        <f t="shared" si="5"/>
        <v>24453.700000000012</v>
      </c>
    </row>
    <row r="25" spans="1:20" outlineLevel="1" x14ac:dyDescent="0.15">
      <c r="A25" t="s">
        <v>7</v>
      </c>
      <c r="B25" s="13">
        <f ca="1">SUM(E25:OFFSET(E25,0,$H$2-1))</f>
        <v>48022.200000000004</v>
      </c>
      <c r="C25" s="14">
        <f ca="1">AVERAGE(E25:OFFSET(E25,0,$H$3-1))</f>
        <v>4802.22</v>
      </c>
      <c r="D25" s="13"/>
      <c r="E25" s="16">
        <f>E24*$K$2</f>
        <v>3035.4</v>
      </c>
      <c r="F25" s="16">
        <f>IFERROR(IF(YEAR(F$7) &lt; YEAR($E$3),F24*$K$2,""), "")</f>
        <v>2981.4599999999991</v>
      </c>
      <c r="G25" s="16">
        <f t="shared" ref="G25:N25" si="6">IFERROR(IF(YEAR(G$7) &lt; YEAR($E$3),G24*$K$2,""), "")</f>
        <v>2671.440000000001</v>
      </c>
      <c r="H25" s="16">
        <f t="shared" si="6"/>
        <v>4080.3900000000008</v>
      </c>
      <c r="I25" s="16">
        <f t="shared" si="6"/>
        <v>4586.5800000000017</v>
      </c>
      <c r="J25" s="16">
        <f t="shared" si="6"/>
        <v>5038.4100000000035</v>
      </c>
      <c r="K25" s="16">
        <f t="shared" si="6"/>
        <v>5534.3400000000047</v>
      </c>
      <c r="L25" s="16">
        <f t="shared" si="6"/>
        <v>6079.6199999999981</v>
      </c>
      <c r="M25" s="16">
        <f t="shared" si="6"/>
        <v>6678.45</v>
      </c>
      <c r="N25" s="16">
        <f t="shared" si="6"/>
        <v>7336.1100000000033</v>
      </c>
    </row>
    <row r="26" spans="1:20" outlineLevel="1" x14ac:dyDescent="0.15">
      <c r="A26" t="s">
        <v>8</v>
      </c>
      <c r="B26" s="13">
        <f ca="1">SUM(E26:OFFSET(E26,0,$H$2-1))</f>
        <v>112051.80000000003</v>
      </c>
      <c r="C26" s="14">
        <f ca="1">AVERAGE(E26:OFFSET(E26,0,$H$3-1))</f>
        <v>11205.180000000004</v>
      </c>
      <c r="D26" s="13"/>
      <c r="E26" s="16">
        <f>E24-E25</f>
        <v>7082.6</v>
      </c>
      <c r="F26" s="16">
        <f>IFERROR(IF(YEAR(F$7) &lt; YEAR($E$3),F24-F25,""), "")</f>
        <v>6956.739999999998</v>
      </c>
      <c r="G26" s="16">
        <f t="shared" ref="G26:N26" si="7">IFERROR(IF(YEAR(G$7) &lt; YEAR($E$3),G24-G25,""), "")</f>
        <v>6233.3600000000024</v>
      </c>
      <c r="H26" s="16">
        <f t="shared" si="7"/>
        <v>9520.9100000000017</v>
      </c>
      <c r="I26" s="16">
        <f t="shared" si="7"/>
        <v>10702.020000000004</v>
      </c>
      <c r="J26" s="16">
        <f t="shared" si="7"/>
        <v>11756.290000000008</v>
      </c>
      <c r="K26" s="16">
        <f t="shared" si="7"/>
        <v>12913.460000000014</v>
      </c>
      <c r="L26" s="16">
        <f t="shared" si="7"/>
        <v>14185.779999999995</v>
      </c>
      <c r="M26" s="16">
        <f t="shared" si="7"/>
        <v>15583.05</v>
      </c>
      <c r="N26" s="16">
        <f t="shared" si="7"/>
        <v>17117.590000000007</v>
      </c>
    </row>
    <row r="27" spans="1:20" outlineLevel="1" x14ac:dyDescent="0.15">
      <c r="B27" s="13"/>
      <c r="C27" s="14"/>
      <c r="D27" s="13"/>
      <c r="E27" s="16"/>
      <c r="F27" s="16"/>
      <c r="G27" s="16"/>
      <c r="H27" s="16"/>
      <c r="I27" s="16"/>
      <c r="J27" s="16"/>
      <c r="K27" s="16"/>
      <c r="L27" s="16"/>
      <c r="M27" s="16"/>
      <c r="N27" s="16"/>
    </row>
    <row r="28" spans="1:20" outlineLevel="1" x14ac:dyDescent="0.15">
      <c r="A28" t="s">
        <v>35</v>
      </c>
      <c r="B28">
        <f ca="1">SUM(E28:OFFSET(E28,0,$H$2-1))</f>
        <v>5800</v>
      </c>
      <c r="C28" s="1">
        <f ca="1">AVERAGE(F28:OFFSET(F28,0,$H$2-1))</f>
        <v>755.55555555555554</v>
      </c>
      <c r="E28" s="8">
        <f>'Raw Data'!B12</f>
        <v>-1000</v>
      </c>
      <c r="F28" s="8">
        <f>IFERROR(IF(YEAR(F$7) &lt; YEAR($E$3),'Raw Data'!C12,""), "")</f>
        <v>200</v>
      </c>
      <c r="G28" s="8">
        <f>IFERROR(IF(YEAR(G$7) &lt; YEAR($E$3),'Raw Data'!D12,""), "")</f>
        <v>500</v>
      </c>
      <c r="H28" s="8">
        <f>IFERROR(IF(YEAR(H$7) &lt; YEAR($E$3),'Raw Data'!E12,""), "")</f>
        <v>700</v>
      </c>
      <c r="I28" s="8">
        <f>IFERROR(IF(YEAR(I$7) &lt; YEAR($E$3),'Raw Data'!F12,""), "")</f>
        <v>900</v>
      </c>
      <c r="J28" s="8">
        <f>IFERROR(IF(YEAR(J$7) &lt; YEAR($E$3),'Raw Data'!G12,""), "")</f>
        <v>900</v>
      </c>
      <c r="K28" s="8">
        <f>IFERROR(IF(YEAR(K$7) &lt; YEAR($E$3),'Raw Data'!H12,""), "")</f>
        <v>900</v>
      </c>
      <c r="L28" s="8">
        <f>IFERROR(IF(YEAR(L$7) &lt; YEAR($E$3),'Raw Data'!I12,""), "")</f>
        <v>900</v>
      </c>
      <c r="M28" s="8">
        <f>IFERROR(IF(YEAR(M$7) &lt; YEAR($E$3),'Raw Data'!J12,""), "")</f>
        <v>900</v>
      </c>
      <c r="N28" s="8">
        <f>IFERROR(IF(YEAR(N$7) &lt; YEAR($E$3),'Raw Data'!K12,""), "")</f>
        <v>900</v>
      </c>
      <c r="O28" s="8" t="str">
        <f>IFERROR(IF(YEAR(O$7) &lt; YEAR($E$3),'Raw Data'!L12,""), "")</f>
        <v/>
      </c>
      <c r="P28" s="8" t="str">
        <f>IFERROR(IF(YEAR(P$7) &lt; YEAR($E$3),'Raw Data'!M12,""), "")</f>
        <v/>
      </c>
      <c r="Q28" s="8" t="str">
        <f>IFERROR(IF(YEAR(Q$7) &lt; YEAR($E$3),'Raw Data'!N12,""), "")</f>
        <v/>
      </c>
      <c r="R28" s="8" t="str">
        <f>IFERROR(IF(YEAR(R$7) &lt; YEAR($E$3),'Raw Data'!O12,""), "")</f>
        <v/>
      </c>
      <c r="S28" s="8" t="str">
        <f>IFERROR(IF(YEAR(S$7) &lt; YEAR($E$3),'Raw Data'!P12,""), "")</f>
        <v/>
      </c>
      <c r="T28" s="8" t="str">
        <f>IFERROR(IF(YEAR(T$7) &lt; YEAR($E$3),'Raw Data'!Q12,""), "")</f>
        <v/>
      </c>
    </row>
    <row r="29" spans="1:20" x14ac:dyDescent="0.15">
      <c r="O29" s="54"/>
    </row>
    <row r="30" spans="1:20" s="6" customFormat="1" x14ac:dyDescent="0.15">
      <c r="A30" s="2" t="s">
        <v>20</v>
      </c>
      <c r="B30" s="3"/>
      <c r="C30" s="3"/>
      <c r="D30" s="3"/>
      <c r="E30" s="3"/>
      <c r="F30" s="3"/>
      <c r="G30" s="3"/>
      <c r="H30" s="3"/>
      <c r="I30" s="3"/>
      <c r="J30" s="3"/>
      <c r="K30" s="3"/>
      <c r="L30" s="3"/>
      <c r="M30" s="3"/>
      <c r="N30" s="3"/>
      <c r="O30" s="3"/>
      <c r="P30" s="3"/>
      <c r="Q30" s="3"/>
      <c r="R30" s="3"/>
      <c r="S30" s="3"/>
      <c r="T30" s="3"/>
    </row>
    <row r="31" spans="1:20" hidden="1" outlineLevel="1" x14ac:dyDescent="0.15"/>
    <row r="32" spans="1:20" s="17" customFormat="1" hidden="1" outlineLevel="1" x14ac:dyDescent="0.15">
      <c r="A32" s="17" t="s">
        <v>0</v>
      </c>
      <c r="B32" s="18">
        <f ca="1">SUM(E32:OFFSET(E32,0,$H$2-1))</f>
        <v>1400850.0000000002</v>
      </c>
      <c r="C32" s="19">
        <f ca="1">AVERAGE(F32:OFFSET(F32,0,$H$2-1))</f>
        <v>145600.00000000003</v>
      </c>
      <c r="E32" s="18">
        <f>E16</f>
        <v>90450</v>
      </c>
      <c r="F32" s="18">
        <f t="shared" ref="F32:N32" si="8">F16</f>
        <v>99133.2</v>
      </c>
      <c r="G32" s="18">
        <f t="shared" si="8"/>
        <v>108748.8</v>
      </c>
      <c r="H32" s="18">
        <f t="shared" si="8"/>
        <v>118536.3</v>
      </c>
      <c r="I32" s="18">
        <f t="shared" si="8"/>
        <v>128019.6</v>
      </c>
      <c r="J32" s="18">
        <f t="shared" si="8"/>
        <v>140627.70000000001</v>
      </c>
      <c r="K32" s="18">
        <f t="shared" si="8"/>
        <v>154477.80000000002</v>
      </c>
      <c r="L32" s="18">
        <f t="shared" si="8"/>
        <v>169691.4</v>
      </c>
      <c r="M32" s="18">
        <f t="shared" si="8"/>
        <v>186403.5</v>
      </c>
      <c r="N32" s="18">
        <f t="shared" si="8"/>
        <v>204761.7</v>
      </c>
      <c r="O32" s="18" t="s">
        <v>67</v>
      </c>
      <c r="P32" s="18" t="s">
        <v>67</v>
      </c>
      <c r="Q32" s="18" t="s">
        <v>67</v>
      </c>
      <c r="R32" s="18" t="s">
        <v>67</v>
      </c>
      <c r="S32" s="18" t="s">
        <v>67</v>
      </c>
      <c r="T32" s="18" t="s">
        <v>67</v>
      </c>
    </row>
    <row r="33" spans="1:20" hidden="1" outlineLevel="1" x14ac:dyDescent="0.15">
      <c r="A33" t="s">
        <v>1</v>
      </c>
      <c r="B33" s="13">
        <f ca="1">SUM(E33:OFFSET(E33,0,$H$2-1))</f>
        <v>630773</v>
      </c>
      <c r="C33" s="14">
        <f ca="1">AVERAGE(F33:OFFSET(F33,0,$H$2-1))</f>
        <v>65789</v>
      </c>
      <c r="E33" s="13">
        <f>E19</f>
        <v>38672</v>
      </c>
      <c r="F33" s="13">
        <f t="shared" ref="F33:N33" si="9">F19</f>
        <v>43486</v>
      </c>
      <c r="G33" s="13">
        <f t="shared" si="9"/>
        <v>48333</v>
      </c>
      <c r="H33" s="13">
        <f t="shared" si="9"/>
        <v>52024</v>
      </c>
      <c r="I33" s="13">
        <f t="shared" si="9"/>
        <v>58320</v>
      </c>
      <c r="J33" s="13">
        <f t="shared" si="9"/>
        <v>64064</v>
      </c>
      <c r="K33" s="13">
        <f t="shared" si="9"/>
        <v>70373</v>
      </c>
      <c r="L33" s="13">
        <f t="shared" si="9"/>
        <v>77304</v>
      </c>
      <c r="M33" s="13">
        <f t="shared" si="9"/>
        <v>84917</v>
      </c>
      <c r="N33" s="13">
        <f t="shared" si="9"/>
        <v>93280</v>
      </c>
      <c r="O33" s="13" t="s">
        <v>67</v>
      </c>
      <c r="P33" s="13" t="s">
        <v>67</v>
      </c>
      <c r="Q33" s="13" t="s">
        <v>67</v>
      </c>
      <c r="R33" s="13" t="s">
        <v>67</v>
      </c>
      <c r="S33" s="13" t="s">
        <v>67</v>
      </c>
      <c r="T33" s="13" t="s">
        <v>67</v>
      </c>
    </row>
    <row r="34" spans="1:20" hidden="1" outlineLevel="1" x14ac:dyDescent="0.15">
      <c r="A34" s="20" t="s">
        <v>2</v>
      </c>
      <c r="B34" s="21">
        <f ca="1">SUM(E34:OFFSET(E34,0,$H$2-1))</f>
        <v>770077</v>
      </c>
      <c r="C34" s="22">
        <f ca="1">AVERAGE(F34:OFFSET(F34,0,$H$2-1))</f>
        <v>79811</v>
      </c>
      <c r="D34" s="20"/>
      <c r="E34" s="21">
        <f>E32-E33</f>
        <v>51778</v>
      </c>
      <c r="F34" s="21">
        <f>IFERROR(IF(YEAR(F$7) &lt; YEAR($E$3),F32-F33,""), "")</f>
        <v>55647.199999999997</v>
      </c>
      <c r="G34" s="21">
        <f t="shared" ref="G34:N34" si="10">IFERROR(IF(YEAR(G$7) &lt; YEAR($E$3),G32-G33,""), "")</f>
        <v>60415.8</v>
      </c>
      <c r="H34" s="21">
        <f t="shared" si="10"/>
        <v>66512.3</v>
      </c>
      <c r="I34" s="21">
        <f t="shared" si="10"/>
        <v>69699.600000000006</v>
      </c>
      <c r="J34" s="21">
        <f t="shared" si="10"/>
        <v>76563.700000000012</v>
      </c>
      <c r="K34" s="21">
        <f t="shared" si="10"/>
        <v>84104.800000000017</v>
      </c>
      <c r="L34" s="21">
        <f t="shared" si="10"/>
        <v>92387.4</v>
      </c>
      <c r="M34" s="21">
        <f t="shared" si="10"/>
        <v>101486.5</v>
      </c>
      <c r="N34" s="21">
        <f t="shared" si="10"/>
        <v>111481.70000000001</v>
      </c>
      <c r="O34" s="21" t="s">
        <v>67</v>
      </c>
      <c r="P34" s="21" t="s">
        <v>67</v>
      </c>
      <c r="Q34" s="21" t="s">
        <v>67</v>
      </c>
      <c r="R34" s="21" t="s">
        <v>67</v>
      </c>
      <c r="S34" s="21" t="s">
        <v>67</v>
      </c>
      <c r="T34" s="21" t="s">
        <v>67</v>
      </c>
    </row>
    <row r="35" spans="1:20" hidden="1" outlineLevel="1" x14ac:dyDescent="0.15">
      <c r="A35" t="s">
        <v>3</v>
      </c>
      <c r="B35" s="13">
        <f ca="1">SUM(E35:OFFSET(E35,0,$H$2-1))</f>
        <v>335283</v>
      </c>
      <c r="C35" s="14">
        <f ca="1">AVERAGE(F35:OFFSET(F35,0,$H$2-1))</f>
        <v>34610.444444444445</v>
      </c>
      <c r="E35" s="15">
        <f>E21</f>
        <v>23789</v>
      </c>
      <c r="F35" s="15">
        <f t="shared" ref="F35:N35" si="11">F21</f>
        <v>26812</v>
      </c>
      <c r="G35" s="15">
        <f t="shared" si="11"/>
        <v>27859</v>
      </c>
      <c r="H35" s="15">
        <f t="shared" si="11"/>
        <v>28859</v>
      </c>
      <c r="I35" s="15">
        <f t="shared" si="11"/>
        <v>29659</v>
      </c>
      <c r="J35" s="15">
        <f t="shared" si="11"/>
        <v>32580</v>
      </c>
      <c r="K35" s="15">
        <f t="shared" si="11"/>
        <v>35789</v>
      </c>
      <c r="L35" s="15">
        <f t="shared" si="11"/>
        <v>39313</v>
      </c>
      <c r="M35" s="15">
        <f t="shared" si="11"/>
        <v>43185</v>
      </c>
      <c r="N35" s="15">
        <f t="shared" si="11"/>
        <v>47438</v>
      </c>
      <c r="O35" s="15" t="s">
        <v>67</v>
      </c>
      <c r="P35" s="15" t="s">
        <v>67</v>
      </c>
      <c r="Q35" s="15" t="s">
        <v>67</v>
      </c>
      <c r="R35" s="15" t="s">
        <v>67</v>
      </c>
      <c r="S35" s="15" t="s">
        <v>67</v>
      </c>
      <c r="T35" s="15" t="s">
        <v>67</v>
      </c>
    </row>
    <row r="36" spans="1:20" hidden="1" outlineLevel="1" x14ac:dyDescent="0.15">
      <c r="A36" t="s">
        <v>4</v>
      </c>
      <c r="B36" s="13">
        <f ca="1">SUM(E36:OFFSET(E36,0,$H$2-1))</f>
        <v>215421</v>
      </c>
      <c r="C36" s="14">
        <f ca="1">AVERAGE(F36:OFFSET(F36,0,$H$2-1))</f>
        <v>22505.555555555555</v>
      </c>
      <c r="E36" s="15">
        <f>E22</f>
        <v>12871</v>
      </c>
      <c r="F36" s="15">
        <f t="shared" ref="F36:N36" si="12">F22</f>
        <v>13897</v>
      </c>
      <c r="G36" s="15">
        <f t="shared" si="12"/>
        <v>18652</v>
      </c>
      <c r="H36" s="15">
        <f t="shared" si="12"/>
        <v>18952</v>
      </c>
      <c r="I36" s="15">
        <f t="shared" si="12"/>
        <v>19652</v>
      </c>
      <c r="J36" s="15">
        <f t="shared" si="12"/>
        <v>21587</v>
      </c>
      <c r="K36" s="15">
        <f t="shared" si="12"/>
        <v>23714</v>
      </c>
      <c r="L36" s="15">
        <f t="shared" si="12"/>
        <v>26049</v>
      </c>
      <c r="M36" s="15">
        <f t="shared" si="12"/>
        <v>28614</v>
      </c>
      <c r="N36" s="15">
        <f t="shared" si="12"/>
        <v>31433</v>
      </c>
      <c r="O36" s="15" t="s">
        <v>67</v>
      </c>
      <c r="P36" s="15" t="s">
        <v>67</v>
      </c>
      <c r="Q36" s="15" t="s">
        <v>67</v>
      </c>
      <c r="R36" s="15" t="s">
        <v>67</v>
      </c>
      <c r="S36" s="15" t="s">
        <v>67</v>
      </c>
      <c r="T36" s="15" t="s">
        <v>67</v>
      </c>
    </row>
    <row r="37" spans="1:20" hidden="1" outlineLevel="1" x14ac:dyDescent="0.15">
      <c r="A37" t="s">
        <v>5</v>
      </c>
      <c r="B37" s="13">
        <f ca="1">SUM(E37:OFFSET(E37,0,$H$2-1))</f>
        <v>59299</v>
      </c>
      <c r="C37" s="14">
        <f ca="1">AVERAGE(F37:OFFSET(F37,0,$H$2-1))</f>
        <v>6033.2222222222226</v>
      </c>
      <c r="E37" s="15">
        <f>E23</f>
        <v>5000</v>
      </c>
      <c r="F37" s="15">
        <f t="shared" ref="F37:N37" si="13">F23</f>
        <v>5000</v>
      </c>
      <c r="G37" s="15">
        <f t="shared" si="13"/>
        <v>5000</v>
      </c>
      <c r="H37" s="15">
        <f t="shared" si="13"/>
        <v>5100</v>
      </c>
      <c r="I37" s="15">
        <f t="shared" si="13"/>
        <v>5100</v>
      </c>
      <c r="J37" s="15">
        <f t="shared" si="13"/>
        <v>5602</v>
      </c>
      <c r="K37" s="15">
        <f t="shared" si="13"/>
        <v>6154</v>
      </c>
      <c r="L37" s="15">
        <f t="shared" si="13"/>
        <v>6760</v>
      </c>
      <c r="M37" s="15">
        <f t="shared" si="13"/>
        <v>7426</v>
      </c>
      <c r="N37" s="15">
        <f t="shared" si="13"/>
        <v>8157</v>
      </c>
      <c r="O37" s="15" t="s">
        <v>67</v>
      </c>
      <c r="P37" s="15" t="s">
        <v>67</v>
      </c>
      <c r="Q37" s="15" t="s">
        <v>67</v>
      </c>
      <c r="R37" s="15" t="s">
        <v>67</v>
      </c>
      <c r="S37" s="15" t="s">
        <v>67</v>
      </c>
      <c r="T37" s="15" t="s">
        <v>67</v>
      </c>
    </row>
    <row r="38" spans="1:20" hidden="1" outlineLevel="1" x14ac:dyDescent="0.15">
      <c r="A38" s="20" t="s">
        <v>6</v>
      </c>
      <c r="B38" s="21">
        <f ca="1">SUM(E38:OFFSET(E38,0,$H$2-1))</f>
        <v>160074.00000000006</v>
      </c>
      <c r="C38" s="22">
        <f ca="1">AVERAGE(F38:OFFSET(F38,0,$H$2-1))</f>
        <v>16661.777777777785</v>
      </c>
      <c r="D38" s="20"/>
      <c r="E38" s="21">
        <f>E34-E35-E36-E37</f>
        <v>10118</v>
      </c>
      <c r="F38" s="21">
        <f t="shared" ref="F38:T38" si="14">IFERROR(IF(YEAR(F$7) &lt; YEAR($E$3),F34-F35-F36-F37,""), "")</f>
        <v>9938.1999999999971</v>
      </c>
      <c r="G38" s="21">
        <f t="shared" si="14"/>
        <v>8904.8000000000029</v>
      </c>
      <c r="H38" s="21">
        <f t="shared" si="14"/>
        <v>13601.300000000003</v>
      </c>
      <c r="I38" s="21">
        <f t="shared" si="14"/>
        <v>15288.600000000006</v>
      </c>
      <c r="J38" s="21">
        <f t="shared" si="14"/>
        <v>16794.700000000012</v>
      </c>
      <c r="K38" s="21">
        <f t="shared" si="14"/>
        <v>18447.800000000017</v>
      </c>
      <c r="L38" s="21">
        <f t="shared" si="14"/>
        <v>20265.399999999994</v>
      </c>
      <c r="M38" s="21">
        <f t="shared" si="14"/>
        <v>22261.5</v>
      </c>
      <c r="N38" s="21">
        <f t="shared" si="14"/>
        <v>24453.700000000012</v>
      </c>
      <c r="O38" s="21" t="str">
        <f t="shared" si="14"/>
        <v/>
      </c>
      <c r="P38" s="21" t="str">
        <f t="shared" si="14"/>
        <v/>
      </c>
      <c r="Q38" s="21" t="str">
        <f t="shared" si="14"/>
        <v/>
      </c>
      <c r="R38" s="21" t="str">
        <f t="shared" si="14"/>
        <v/>
      </c>
      <c r="S38" s="21" t="str">
        <f t="shared" si="14"/>
        <v/>
      </c>
      <c r="T38" s="21" t="str">
        <f t="shared" si="14"/>
        <v/>
      </c>
    </row>
    <row r="39" spans="1:20" hidden="1" outlineLevel="1" x14ac:dyDescent="0.15">
      <c r="A39" t="s">
        <v>7</v>
      </c>
      <c r="B39" s="13">
        <f ca="1">SUM(E39:OFFSET(E39,0,$H$2-1))</f>
        <v>48022.200000000004</v>
      </c>
      <c r="C39" s="14">
        <f ca="1">AVERAGE(F39:OFFSET(F39,0,$H$2-1))</f>
        <v>4998.5333333333347</v>
      </c>
      <c r="E39" s="13">
        <f>E38*$K$2</f>
        <v>3035.4</v>
      </c>
      <c r="F39" s="13">
        <f t="shared" ref="F39:T39" si="15">IFERROR(IF(YEAR(F$7) &lt; YEAR($E$3),F38*$K$2,""), "")</f>
        <v>2981.4599999999991</v>
      </c>
      <c r="G39" s="13">
        <f t="shared" si="15"/>
        <v>2671.440000000001</v>
      </c>
      <c r="H39" s="13">
        <f t="shared" si="15"/>
        <v>4080.3900000000008</v>
      </c>
      <c r="I39" s="13">
        <f t="shared" si="15"/>
        <v>4586.5800000000017</v>
      </c>
      <c r="J39" s="13">
        <f t="shared" si="15"/>
        <v>5038.4100000000035</v>
      </c>
      <c r="K39" s="13">
        <f t="shared" si="15"/>
        <v>5534.3400000000047</v>
      </c>
      <c r="L39" s="13">
        <f t="shared" si="15"/>
        <v>6079.6199999999981</v>
      </c>
      <c r="M39" s="13">
        <f t="shared" si="15"/>
        <v>6678.45</v>
      </c>
      <c r="N39" s="13">
        <f t="shared" si="15"/>
        <v>7336.1100000000033</v>
      </c>
      <c r="O39" s="13" t="str">
        <f t="shared" si="15"/>
        <v/>
      </c>
      <c r="P39" s="13" t="str">
        <f t="shared" si="15"/>
        <v/>
      </c>
      <c r="Q39" s="13" t="str">
        <f t="shared" si="15"/>
        <v/>
      </c>
      <c r="R39" s="13" t="str">
        <f t="shared" si="15"/>
        <v/>
      </c>
      <c r="S39" s="13" t="str">
        <f t="shared" si="15"/>
        <v/>
      </c>
      <c r="T39" s="13" t="str">
        <f t="shared" si="15"/>
        <v/>
      </c>
    </row>
    <row r="40" spans="1:20" s="17" customFormat="1" ht="15" hidden="1" outlineLevel="1" thickBot="1" x14ac:dyDescent="0.2">
      <c r="A40" s="23" t="s">
        <v>8</v>
      </c>
      <c r="B40" s="24">
        <f ca="1">SUM(E40:OFFSET(E40,0,$H$2-1))</f>
        <v>112051.80000000003</v>
      </c>
      <c r="C40" s="25">
        <f ca="1">AVERAGE(F40:OFFSET(F40,0,$H$2-1))</f>
        <v>11663.244444444448</v>
      </c>
      <c r="D40" s="23"/>
      <c r="E40" s="24">
        <f>E38-E39</f>
        <v>7082.6</v>
      </c>
      <c r="F40" s="24">
        <f t="shared" ref="F40:T40" si="16">IFERROR(IF(YEAR(F$7) &lt; YEAR($E$3),F38-F39,""), "")</f>
        <v>6956.739999999998</v>
      </c>
      <c r="G40" s="24">
        <f t="shared" si="16"/>
        <v>6233.3600000000024</v>
      </c>
      <c r="H40" s="24">
        <f t="shared" si="16"/>
        <v>9520.9100000000017</v>
      </c>
      <c r="I40" s="24">
        <f t="shared" si="16"/>
        <v>10702.020000000004</v>
      </c>
      <c r="J40" s="24">
        <f t="shared" si="16"/>
        <v>11756.290000000008</v>
      </c>
      <c r="K40" s="24">
        <f t="shared" si="16"/>
        <v>12913.460000000014</v>
      </c>
      <c r="L40" s="24">
        <f t="shared" si="16"/>
        <v>14185.779999999995</v>
      </c>
      <c r="M40" s="24">
        <f t="shared" si="16"/>
        <v>15583.05</v>
      </c>
      <c r="N40" s="24">
        <f t="shared" si="16"/>
        <v>17117.590000000007</v>
      </c>
      <c r="O40" s="24" t="str">
        <f t="shared" si="16"/>
        <v/>
      </c>
      <c r="P40" s="24" t="str">
        <f t="shared" si="16"/>
        <v/>
      </c>
      <c r="Q40" s="24" t="str">
        <f t="shared" si="16"/>
        <v/>
      </c>
      <c r="R40" s="24" t="str">
        <f t="shared" si="16"/>
        <v/>
      </c>
      <c r="S40" s="24" t="str">
        <f t="shared" si="16"/>
        <v/>
      </c>
      <c r="T40" s="24" t="str">
        <f t="shared" si="16"/>
        <v/>
      </c>
    </row>
    <row r="41" spans="1:20" collapsed="1" x14ac:dyDescent="0.15"/>
    <row r="42" spans="1:20" x14ac:dyDescent="0.15">
      <c r="A42" s="2" t="s">
        <v>21</v>
      </c>
      <c r="B42" s="3"/>
      <c r="C42" s="3"/>
      <c r="D42" s="3"/>
      <c r="E42" s="3"/>
      <c r="F42" s="3"/>
      <c r="G42" s="3"/>
      <c r="H42" s="3"/>
      <c r="I42" s="3"/>
      <c r="J42" s="3"/>
      <c r="K42" s="3"/>
      <c r="L42" s="3"/>
      <c r="M42" s="3"/>
      <c r="N42" s="3"/>
      <c r="O42" s="3"/>
      <c r="P42" s="3"/>
      <c r="Q42" s="3"/>
      <c r="R42" s="3"/>
      <c r="S42" s="3"/>
      <c r="T42" s="3"/>
    </row>
    <row r="43" spans="1:20" hidden="1" outlineLevel="1" x14ac:dyDescent="0.15"/>
    <row r="44" spans="1:20" hidden="1" outlineLevel="1" x14ac:dyDescent="0.15">
      <c r="A44" s="17" t="s">
        <v>22</v>
      </c>
    </row>
    <row r="45" spans="1:20" hidden="1" outlineLevel="1" x14ac:dyDescent="0.15">
      <c r="A45" t="s">
        <v>23</v>
      </c>
      <c r="B45" s="15">
        <v>5000</v>
      </c>
    </row>
    <row r="46" spans="1:20" hidden="1" outlineLevel="1" x14ac:dyDescent="0.15">
      <c r="A46" t="s">
        <v>24</v>
      </c>
      <c r="B46" s="8">
        <v>7</v>
      </c>
    </row>
    <row r="47" spans="1:20" hidden="1" outlineLevel="1" x14ac:dyDescent="0.15">
      <c r="A47" t="s">
        <v>25</v>
      </c>
      <c r="B47" s="26">
        <v>4.4999999999999998E-2</v>
      </c>
    </row>
    <row r="48" spans="1:20" hidden="1" outlineLevel="1" x14ac:dyDescent="0.15"/>
    <row r="49" spans="1:20" hidden="1" outlineLevel="1" x14ac:dyDescent="0.15">
      <c r="A49" t="s">
        <v>26</v>
      </c>
      <c r="E49">
        <v>1</v>
      </c>
      <c r="F49">
        <v>2</v>
      </c>
      <c r="G49">
        <v>3</v>
      </c>
      <c r="H49">
        <v>4</v>
      </c>
      <c r="I49">
        <v>5</v>
      </c>
      <c r="J49">
        <v>6</v>
      </c>
      <c r="K49">
        <v>7</v>
      </c>
      <c r="L49">
        <v>8</v>
      </c>
      <c r="M49">
        <v>9</v>
      </c>
      <c r="N49">
        <v>10</v>
      </c>
      <c r="O49" t="s">
        <v>67</v>
      </c>
      <c r="P49" t="s">
        <v>67</v>
      </c>
      <c r="Q49" t="s">
        <v>67</v>
      </c>
      <c r="R49" t="s">
        <v>67</v>
      </c>
      <c r="S49" t="s">
        <v>67</v>
      </c>
      <c r="T49" t="s">
        <v>67</v>
      </c>
    </row>
    <row r="50" spans="1:20" hidden="1" outlineLevel="1" x14ac:dyDescent="0.15"/>
    <row r="51" spans="1:20" hidden="1" outlineLevel="1" x14ac:dyDescent="0.15">
      <c r="A51" t="s">
        <v>27</v>
      </c>
      <c r="E51" s="59">
        <f>B45</f>
        <v>5000</v>
      </c>
      <c r="F51" s="59">
        <f>E51-F52</f>
        <v>5848.5073399413322</v>
      </c>
      <c r="G51" s="59">
        <f t="shared" ref="G51:K51" si="17">F51-G52</f>
        <v>6697.0146798826645</v>
      </c>
      <c r="H51" s="59">
        <f t="shared" si="17"/>
        <v>7545.5220198239967</v>
      </c>
      <c r="I51" s="59">
        <f t="shared" si="17"/>
        <v>8394.029359765329</v>
      </c>
      <c r="J51" s="59">
        <f t="shared" si="17"/>
        <v>9242.5366997066612</v>
      </c>
      <c r="K51" s="59">
        <f t="shared" si="17"/>
        <v>10091.044039647993</v>
      </c>
      <c r="L51" s="13"/>
      <c r="M51" s="13" t="s">
        <v>67</v>
      </c>
      <c r="N51" s="13" t="s">
        <v>67</v>
      </c>
      <c r="O51" s="13" t="s">
        <v>67</v>
      </c>
      <c r="P51" s="13" t="s">
        <v>67</v>
      </c>
      <c r="Q51" s="13" t="s">
        <v>67</v>
      </c>
      <c r="R51" s="13" t="s">
        <v>67</v>
      </c>
      <c r="S51" s="13" t="s">
        <v>67</v>
      </c>
    </row>
    <row r="52" spans="1:20" hidden="1" outlineLevel="1" x14ac:dyDescent="0.15">
      <c r="A52" t="s">
        <v>28</v>
      </c>
      <c r="E52" s="59">
        <f>PMT(B47,B46,B45)</f>
        <v>-848.50733994133259</v>
      </c>
      <c r="F52" s="59">
        <f>E52</f>
        <v>-848.50733994133259</v>
      </c>
      <c r="G52" s="59">
        <f t="shared" ref="G52:K52" si="18">F52</f>
        <v>-848.50733994133259</v>
      </c>
      <c r="H52" s="59">
        <f t="shared" si="18"/>
        <v>-848.50733994133259</v>
      </c>
      <c r="I52" s="59">
        <f t="shared" si="18"/>
        <v>-848.50733994133259</v>
      </c>
      <c r="J52" s="59">
        <f t="shared" si="18"/>
        <v>-848.50733994133259</v>
      </c>
      <c r="K52" s="59">
        <f t="shared" si="18"/>
        <v>-848.50733994133259</v>
      </c>
      <c r="L52" s="16"/>
      <c r="M52" s="16" t="s">
        <v>67</v>
      </c>
      <c r="N52" s="16" t="s">
        <v>67</v>
      </c>
      <c r="O52" s="16" t="s">
        <v>67</v>
      </c>
      <c r="P52" s="16" t="s">
        <v>67</v>
      </c>
      <c r="Q52" s="16" t="s">
        <v>67</v>
      </c>
      <c r="R52" s="16" t="s">
        <v>67</v>
      </c>
      <c r="S52" s="16" t="s">
        <v>67</v>
      </c>
      <c r="T52" s="16" t="s">
        <v>67</v>
      </c>
    </row>
    <row r="53" spans="1:20" hidden="1" outlineLevel="1" x14ac:dyDescent="0.15">
      <c r="A53" t="s">
        <v>29</v>
      </c>
      <c r="E53" s="59">
        <f>IPMT($B$47,E49,$B$46,$B$45)</f>
        <v>-225</v>
      </c>
      <c r="F53" s="59">
        <f t="shared" ref="F53:K53" si="19">IPMT($B$47,F49,$B$46,$B$45)</f>
        <v>-196.94216970263997</v>
      </c>
      <c r="G53" s="59">
        <f t="shared" si="19"/>
        <v>-167.62173704189885</v>
      </c>
      <c r="H53" s="59">
        <f t="shared" si="19"/>
        <v>-136.98188491142432</v>
      </c>
      <c r="I53" s="59">
        <f t="shared" si="19"/>
        <v>-104.96323943507842</v>
      </c>
      <c r="J53" s="59">
        <f t="shared" si="19"/>
        <v>-71.503754912297012</v>
      </c>
      <c r="K53" s="59">
        <f t="shared" si="19"/>
        <v>-36.538593585990405</v>
      </c>
      <c r="L53" s="16"/>
      <c r="M53" s="16" t="s">
        <v>67</v>
      </c>
      <c r="N53" s="16" t="s">
        <v>67</v>
      </c>
      <c r="O53" s="16" t="s">
        <v>67</v>
      </c>
      <c r="P53" s="16" t="s">
        <v>67</v>
      </c>
      <c r="Q53" s="16" t="s">
        <v>67</v>
      </c>
      <c r="R53" s="16" t="s">
        <v>67</v>
      </c>
      <c r="S53" s="16" t="s">
        <v>67</v>
      </c>
      <c r="T53" s="16" t="s">
        <v>67</v>
      </c>
    </row>
    <row r="54" spans="1:20" hidden="1" outlineLevel="1" x14ac:dyDescent="0.15">
      <c r="A54" t="s">
        <v>30</v>
      </c>
      <c r="E54" s="59">
        <f>PPMT($B$47,E49,$B$46,$B$45)</f>
        <v>-623.50733994133259</v>
      </c>
      <c r="F54" s="59">
        <f t="shared" ref="F54:K54" si="20">PPMT($B$47,F49,$B$46,$B$45)</f>
        <v>-651.56517023869253</v>
      </c>
      <c r="G54" s="59">
        <f t="shared" si="20"/>
        <v>-680.88560289943371</v>
      </c>
      <c r="H54" s="59">
        <f t="shared" si="20"/>
        <v>-711.52545502990824</v>
      </c>
      <c r="I54" s="59">
        <f t="shared" si="20"/>
        <v>-743.54410050625415</v>
      </c>
      <c r="J54" s="59">
        <f t="shared" si="20"/>
        <v>-777.00358502903555</v>
      </c>
      <c r="K54" s="59">
        <f t="shared" si="20"/>
        <v>-811.9687463553422</v>
      </c>
      <c r="L54" s="13"/>
      <c r="M54" s="13" t="s">
        <v>67</v>
      </c>
      <c r="N54" s="13" t="s">
        <v>67</v>
      </c>
      <c r="O54" s="13" t="s">
        <v>67</v>
      </c>
      <c r="P54" s="13" t="s">
        <v>67</v>
      </c>
      <c r="Q54" s="13" t="s">
        <v>67</v>
      </c>
      <c r="R54" s="13" t="s">
        <v>67</v>
      </c>
      <c r="S54" s="13" t="s">
        <v>67</v>
      </c>
      <c r="T54" s="13" t="s">
        <v>67</v>
      </c>
    </row>
    <row r="55" spans="1:20" hidden="1" outlineLevel="1" x14ac:dyDescent="0.15">
      <c r="A55" t="s">
        <v>31</v>
      </c>
      <c r="E55" s="59">
        <f>$E$51+E54</f>
        <v>4376.4926600586678</v>
      </c>
      <c r="F55" s="59">
        <f>E55+F54</f>
        <v>3724.9274898199751</v>
      </c>
      <c r="G55" s="59">
        <f t="shared" ref="G55:K55" si="21">F55+G54</f>
        <v>3044.0418869205414</v>
      </c>
      <c r="H55" s="59">
        <f t="shared" si="21"/>
        <v>2332.5164318906332</v>
      </c>
      <c r="I55" s="59">
        <f t="shared" si="21"/>
        <v>1588.972331384379</v>
      </c>
      <c r="J55" s="59">
        <f t="shared" si="21"/>
        <v>811.96874635534346</v>
      </c>
      <c r="K55" s="59">
        <f t="shared" si="21"/>
        <v>1.2505552149377763E-12</v>
      </c>
      <c r="L55" s="13"/>
      <c r="M55" s="13" t="s">
        <v>67</v>
      </c>
      <c r="N55" s="13" t="s">
        <v>67</v>
      </c>
      <c r="O55" s="13" t="s">
        <v>67</v>
      </c>
      <c r="P55" s="13" t="s">
        <v>67</v>
      </c>
      <c r="Q55" s="13" t="s">
        <v>67</v>
      </c>
      <c r="R55" s="13" t="s">
        <v>67</v>
      </c>
      <c r="S55" s="13" t="s">
        <v>67</v>
      </c>
      <c r="T55" s="13" t="s">
        <v>67</v>
      </c>
    </row>
    <row r="56" spans="1:20" collapsed="1" x14ac:dyDescent="0.15"/>
    <row r="57" spans="1:20" x14ac:dyDescent="0.15">
      <c r="A57" s="2" t="s">
        <v>32</v>
      </c>
      <c r="B57" s="3"/>
      <c r="C57" s="3"/>
      <c r="D57" s="3"/>
      <c r="E57" s="3"/>
      <c r="F57" s="3"/>
      <c r="G57" s="3"/>
      <c r="H57" s="3"/>
      <c r="I57" s="3"/>
      <c r="J57" s="3"/>
      <c r="K57" s="3"/>
      <c r="L57" s="3"/>
      <c r="M57" s="3"/>
      <c r="N57" s="3"/>
      <c r="O57" s="3"/>
      <c r="P57" s="3"/>
      <c r="Q57" s="3"/>
      <c r="R57" s="3"/>
      <c r="S57" s="3"/>
      <c r="T57" s="3"/>
    </row>
    <row r="58" spans="1:20" hidden="1" outlineLevel="1" x14ac:dyDescent="0.15">
      <c r="B58" s="13"/>
    </row>
    <row r="59" spans="1:20" hidden="1" outlineLevel="1" x14ac:dyDescent="0.15">
      <c r="A59" t="s">
        <v>66</v>
      </c>
      <c r="B59" s="26">
        <v>0.16911483456928766</v>
      </c>
    </row>
    <row r="60" spans="1:20" hidden="1" outlineLevel="1" x14ac:dyDescent="0.15">
      <c r="A60" t="s">
        <v>33</v>
      </c>
      <c r="B60" s="13">
        <f ca="1">XNPV(B59,E63:OFFSET(E63,0,$E$4-1),E8:OFFSET(E8,0,$E$4-1))</f>
        <v>2000.0000051016855</v>
      </c>
      <c r="D60" s="13"/>
      <c r="L60" s="54"/>
      <c r="N60" s="54"/>
      <c r="O60" s="54"/>
    </row>
    <row r="61" spans="1:20" hidden="1" outlineLevel="1" x14ac:dyDescent="0.15">
      <c r="A61" t="s">
        <v>34</v>
      </c>
      <c r="B61" s="64">
        <f ca="1">XIRR(E63:OFFSET(E63,0,$E$4-1),E8:OFFSET(E8,0,$E$4-1))</f>
        <v>0.5198400914669038</v>
      </c>
    </row>
    <row r="62" spans="1:20" hidden="1" outlineLevel="1" x14ac:dyDescent="0.15"/>
    <row r="63" spans="1:20" hidden="1" outlineLevel="1" x14ac:dyDescent="0.15">
      <c r="A63" t="s">
        <v>35</v>
      </c>
      <c r="E63" s="8">
        <f>E28</f>
        <v>-1000</v>
      </c>
      <c r="F63" s="8">
        <f t="shared" ref="F63:T63" si="22">F28</f>
        <v>200</v>
      </c>
      <c r="G63" s="8">
        <f t="shared" si="22"/>
        <v>500</v>
      </c>
      <c r="H63" s="8">
        <f t="shared" si="22"/>
        <v>700</v>
      </c>
      <c r="I63" s="8">
        <f t="shared" si="22"/>
        <v>900</v>
      </c>
      <c r="J63" s="8">
        <f t="shared" si="22"/>
        <v>900</v>
      </c>
      <c r="K63" s="8">
        <f t="shared" si="22"/>
        <v>900</v>
      </c>
      <c r="L63" s="8">
        <f t="shared" si="22"/>
        <v>900</v>
      </c>
      <c r="M63" s="8">
        <f t="shared" si="22"/>
        <v>900</v>
      </c>
      <c r="N63" s="8">
        <f t="shared" si="22"/>
        <v>900</v>
      </c>
      <c r="O63" s="8" t="str">
        <f t="shared" si="22"/>
        <v/>
      </c>
      <c r="P63" s="8" t="str">
        <f t="shared" si="22"/>
        <v/>
      </c>
      <c r="Q63" s="8" t="str">
        <f t="shared" si="22"/>
        <v/>
      </c>
      <c r="R63" s="8" t="str">
        <f t="shared" si="22"/>
        <v/>
      </c>
      <c r="S63" s="8" t="str">
        <f t="shared" si="22"/>
        <v/>
      </c>
      <c r="T63" s="8" t="str">
        <f t="shared" si="22"/>
        <v/>
      </c>
    </row>
    <row r="64" spans="1:20" hidden="1" outlineLevel="1" x14ac:dyDescent="0.15">
      <c r="E64" s="13"/>
      <c r="F64" s="13"/>
      <c r="G64" s="13"/>
      <c r="H64" s="13"/>
      <c r="M64" s="13"/>
      <c r="N64" s="13"/>
      <c r="O64" s="13"/>
      <c r="P64" s="13"/>
      <c r="Q64" s="13"/>
      <c r="R64" s="13"/>
      <c r="S64" s="13"/>
      <c r="T64" s="13"/>
    </row>
    <row r="65" spans="1:20" hidden="1" outlineLevel="1" x14ac:dyDescent="0.15">
      <c r="B65" s="17" t="s">
        <v>41</v>
      </c>
      <c r="H65" s="13"/>
      <c r="I65" t="s">
        <v>47</v>
      </c>
      <c r="K65" t="s">
        <v>48</v>
      </c>
      <c r="L65" s="26">
        <v>0.6</v>
      </c>
      <c r="M65" s="13"/>
      <c r="O65" s="13"/>
      <c r="P65" s="13"/>
      <c r="Q65" s="13"/>
      <c r="R65" s="13"/>
      <c r="S65" s="13"/>
      <c r="T65" s="13"/>
    </row>
    <row r="66" spans="1:20" hidden="1" outlineLevel="1" x14ac:dyDescent="0.15">
      <c r="B66" s="20" t="s">
        <v>42</v>
      </c>
      <c r="C66" s="27" t="s">
        <v>43</v>
      </c>
      <c r="D66" s="20"/>
      <c r="E66" s="28"/>
      <c r="H66" s="13"/>
      <c r="I66" t="s">
        <v>49</v>
      </c>
      <c r="K66" t="s">
        <v>50</v>
      </c>
      <c r="L66" s="8">
        <v>0</v>
      </c>
      <c r="M66" s="13"/>
      <c r="N66" s="13"/>
      <c r="O66" s="13"/>
      <c r="P66" s="13"/>
      <c r="Q66" s="13"/>
      <c r="R66" s="13"/>
      <c r="S66" s="13"/>
      <c r="T66" s="13"/>
    </row>
    <row r="67" spans="1:20" hidden="1" outlineLevel="1" x14ac:dyDescent="0.15">
      <c r="B67" t="s">
        <v>44</v>
      </c>
      <c r="C67" s="29" t="s">
        <v>64</v>
      </c>
      <c r="E67" s="30">
        <f>SUM(E63:N63)</f>
        <v>5800</v>
      </c>
      <c r="H67" s="13"/>
      <c r="I67" t="s">
        <v>51</v>
      </c>
      <c r="L67" s="29" t="str">
        <f ca="1">IF(OR(B61&gt;L65,B60&gt;L66),"INVEST","DO NOT INVEST")</f>
        <v>INVEST</v>
      </c>
      <c r="M67" s="13"/>
      <c r="N67" s="13"/>
      <c r="O67" s="13"/>
      <c r="P67" s="13"/>
      <c r="Q67" s="13"/>
      <c r="R67" s="13"/>
      <c r="S67" s="13"/>
      <c r="T67" s="13"/>
    </row>
    <row r="68" spans="1:20" hidden="1" outlineLevel="1" x14ac:dyDescent="0.15">
      <c r="B68" t="s">
        <v>45</v>
      </c>
      <c r="C68" s="31">
        <v>63</v>
      </c>
      <c r="I68" t="s">
        <v>52</v>
      </c>
      <c r="L68" s="29" t="str">
        <f ca="1">IF(AND(B62&gt;L66,B61&gt;L67),"INVEST","DO NOT INVEST")</f>
        <v>DO NOT INVEST</v>
      </c>
    </row>
    <row r="69" spans="1:20" collapsed="1" x14ac:dyDescent="0.15"/>
    <row r="70" spans="1:20" x14ac:dyDescent="0.15">
      <c r="A70" s="2" t="s">
        <v>36</v>
      </c>
      <c r="B70" s="3"/>
      <c r="C70" s="3"/>
      <c r="D70" s="3"/>
      <c r="E70" s="3"/>
      <c r="F70" s="3"/>
      <c r="G70" s="3"/>
      <c r="H70" s="3"/>
      <c r="I70" s="3"/>
      <c r="J70" s="3"/>
      <c r="K70" s="3"/>
      <c r="L70" s="3"/>
      <c r="M70" s="3"/>
      <c r="N70" s="3"/>
      <c r="O70" s="3"/>
      <c r="P70" s="3"/>
      <c r="Q70" s="3"/>
      <c r="R70" s="3"/>
      <c r="S70" s="3"/>
      <c r="T70" s="3"/>
    </row>
    <row r="71" spans="1:20" hidden="1" outlineLevel="1" x14ac:dyDescent="0.15"/>
    <row r="72" spans="1:20" hidden="1" outlineLevel="1" x14ac:dyDescent="0.15">
      <c r="C72" t="s">
        <v>71</v>
      </c>
      <c r="E72" s="8">
        <v>2020</v>
      </c>
      <c r="F72" s="43">
        <v>2025</v>
      </c>
      <c r="G72" s="43">
        <v>2029</v>
      </c>
      <c r="I72" s="17" t="s">
        <v>37</v>
      </c>
      <c r="P72" t="s">
        <v>73</v>
      </c>
      <c r="R72" s="8">
        <v>2020</v>
      </c>
      <c r="S72" s="43">
        <v>2024</v>
      </c>
      <c r="T72" s="43">
        <v>2027</v>
      </c>
    </row>
    <row r="73" spans="1:20" hidden="1" outlineLevel="1" x14ac:dyDescent="0.15">
      <c r="C73" s="32" t="s">
        <v>0</v>
      </c>
      <c r="D73" s="20"/>
      <c r="E73" s="21">
        <f>INDEX('Raw Data'!$B$3:$K$12,MATCH(C73,'Raw Data'!$A$3:$A$12,0),MATCH(Analysis!E72,'Raw Data'!$B$1:$K$1,0))</f>
        <v>100500</v>
      </c>
      <c r="F73" s="68">
        <f>INDEX('Raw Data'!$B$3:$K$12,MATCH(C73,'Raw Data'!$A$3:$A$12,0),MATCH(Analysis!F72,'Raw Data'!$B$1:$K$1,0))</f>
        <v>156253</v>
      </c>
      <c r="G73" s="21">
        <f>INDEX('Raw Data'!$B$3:$K$12,MATCH(C73,'Raw Data'!$A$3:$A$12,0),MATCH(Analysis!G72,'Raw Data'!$B$1:$K$1,0))</f>
        <v>227513</v>
      </c>
      <c r="I73" s="20" t="s">
        <v>33</v>
      </c>
      <c r="J73" s="67">
        <f ca="1">XNPV(B59,E63:OFFSET(E63,0,$E$4-1),E8:OFFSET(E8,0,$E$4-1))</f>
        <v>2000.0000051016855</v>
      </c>
      <c r="K73" s="20"/>
      <c r="L73" s="20" t="s">
        <v>38</v>
      </c>
      <c r="M73" s="20"/>
      <c r="N73" s="33">
        <v>0</v>
      </c>
      <c r="P73" s="32" t="s">
        <v>0</v>
      </c>
      <c r="Q73" s="20"/>
      <c r="R73" s="21"/>
      <c r="S73" s="57"/>
      <c r="T73" s="21"/>
    </row>
    <row r="74" spans="1:20" hidden="1" outlineLevel="1" x14ac:dyDescent="0.15">
      <c r="C74" s="17" t="s">
        <v>2</v>
      </c>
      <c r="E74" s="13">
        <f>INDEX('Raw Data'!$B$3:$K$12,MATCH(C74,'Raw Data'!$A$3:$A$12,0),MATCH(Analysis!E72,'Raw Data'!$B$1:$K$1,0))</f>
        <v>61828</v>
      </c>
      <c r="F74" s="13">
        <f>INDEX('Raw Data'!$B$3:$K$12,MATCH(C74,'Raw Data'!$A$3:$A$12,0),MATCH(Analysis!F72,'Raw Data'!$B$1:$K$1,0))</f>
        <v>92189</v>
      </c>
      <c r="G74" s="13">
        <f>INDEX('Raw Data'!$B$3:$K$12,MATCH(C74,'Raw Data'!$A$3:$A$12,0),MATCH(Analysis!G72,'Raw Data'!$B$1:$K$1,0))</f>
        <v>134233</v>
      </c>
      <c r="I74" t="s">
        <v>39</v>
      </c>
      <c r="J74" s="51">
        <f>B59</f>
        <v>0.16911483456928766</v>
      </c>
      <c r="L74" t="s">
        <v>40</v>
      </c>
      <c r="N74" s="52"/>
      <c r="P74" s="17" t="s">
        <v>2</v>
      </c>
      <c r="R74" s="13"/>
      <c r="S74" s="13"/>
      <c r="T74" s="13"/>
    </row>
    <row r="75" spans="1:20" hidden="1" outlineLevel="1" x14ac:dyDescent="0.15">
      <c r="C75" s="17" t="s">
        <v>8</v>
      </c>
      <c r="E75" s="13">
        <f>INDEX('Raw Data'!$B$3:$K$12,MATCH(C75,'Raw Data'!$A$3:$A$12,0),MATCH(Analysis!E72,'Raw Data'!$B$1:$K$1,0))</f>
        <v>14723</v>
      </c>
      <c r="F75" s="13">
        <f>INDEX('Raw Data'!$B$3:$K$12,MATCH(C75,'Raw Data'!$A$3:$A$12,0),MATCH(Analysis!F72,'Raw Data'!$B$1:$K$1,0))</f>
        <v>22694</v>
      </c>
      <c r="G75" s="13">
        <f>INDEX('Raw Data'!$B$3:$K$12,MATCH(C75,'Raw Data'!$A$3:$A$12,0),MATCH(Analysis!G72,'Raw Data'!$B$1:$K$1,0))</f>
        <v>33044</v>
      </c>
      <c r="P75" s="17" t="s">
        <v>8</v>
      </c>
      <c r="R75" s="13"/>
      <c r="S75" s="13"/>
      <c r="T75" s="13"/>
    </row>
    <row r="76" spans="1:20" collapsed="1" x14ac:dyDescent="0.15"/>
    <row r="77" spans="1:20" x14ac:dyDescent="0.15">
      <c r="A77" s="2" t="s">
        <v>53</v>
      </c>
      <c r="B77" s="3"/>
      <c r="C77" s="3"/>
      <c r="D77" s="3"/>
      <c r="E77" s="3"/>
      <c r="F77" s="3"/>
      <c r="G77" s="3"/>
      <c r="H77" s="3"/>
      <c r="I77" s="3"/>
      <c r="J77" s="3"/>
      <c r="K77" s="3"/>
      <c r="L77" s="3"/>
      <c r="M77" s="3"/>
      <c r="N77" s="3"/>
      <c r="O77" s="3"/>
      <c r="P77" s="3"/>
      <c r="Q77" s="3"/>
      <c r="R77" s="3"/>
      <c r="S77" s="3"/>
      <c r="T77" s="3"/>
    </row>
    <row r="78" spans="1:20" hidden="1" outlineLevel="1" x14ac:dyDescent="0.15"/>
    <row r="79" spans="1:20" hidden="1" outlineLevel="1" x14ac:dyDescent="0.15">
      <c r="C79" s="34" t="s">
        <v>54</v>
      </c>
      <c r="D79" s="34"/>
      <c r="E79" s="34"/>
      <c r="F79" s="34"/>
      <c r="G79" s="34"/>
      <c r="H79" s="34"/>
      <c r="I79" s="34"/>
    </row>
    <row r="80" spans="1:20" hidden="1" outlineLevel="1" x14ac:dyDescent="0.15">
      <c r="E80" s="35" t="s">
        <v>55</v>
      </c>
      <c r="F80" s="36"/>
      <c r="G80" s="36"/>
      <c r="H80" s="36"/>
      <c r="I80" s="36"/>
    </row>
    <row r="81" spans="1:20" hidden="1" outlineLevel="1" x14ac:dyDescent="0.15">
      <c r="D81" s="37">
        <f ca="1">B60</f>
        <v>2000.0000051016855</v>
      </c>
      <c r="E81" s="38">
        <v>0.25</v>
      </c>
      <c r="F81" s="38">
        <v>0.2</v>
      </c>
      <c r="G81" s="38">
        <v>0.15000000000000002</v>
      </c>
      <c r="H81" s="38">
        <v>0.10000000000000002</v>
      </c>
      <c r="I81" s="38">
        <v>5.0000000000000017E-2</v>
      </c>
    </row>
    <row r="82" spans="1:20" hidden="1" outlineLevel="1" x14ac:dyDescent="0.15">
      <c r="C82" s="39" t="s">
        <v>56</v>
      </c>
      <c r="D82" s="40">
        <v>-2000</v>
      </c>
      <c r="E82" s="65">
        <f t="dataTable" ref="E82:I86" dt2D="1" dtr="1" r1="B59" r2="E63" ca="1"/>
        <v>197.41897676340272</v>
      </c>
      <c r="F82" s="65">
        <v>649.96150763193168</v>
      </c>
      <c r="G82" s="65">
        <v>1250.7012943478783</v>
      </c>
      <c r="H82" s="65">
        <v>2064.9382080454543</v>
      </c>
      <c r="I82" s="65">
        <v>3194.1071372526103</v>
      </c>
    </row>
    <row r="83" spans="1:20" hidden="1" outlineLevel="1" x14ac:dyDescent="0.15">
      <c r="C83" s="41"/>
      <c r="D83" s="40">
        <v>-1500</v>
      </c>
      <c r="E83" s="66">
        <v>697.4189767634025</v>
      </c>
      <c r="F83" s="66">
        <v>1149.9615076319315</v>
      </c>
      <c r="G83" s="66">
        <v>1750.7012943478783</v>
      </c>
      <c r="H83" s="66">
        <v>2564.9382080454543</v>
      </c>
      <c r="I83" s="66">
        <v>3694.1071372526103</v>
      </c>
    </row>
    <row r="84" spans="1:20" hidden="1" outlineLevel="1" x14ac:dyDescent="0.15">
      <c r="C84" s="41"/>
      <c r="D84" s="40">
        <v>-1000</v>
      </c>
      <c r="E84" s="66">
        <v>1197.4189767634025</v>
      </c>
      <c r="F84" s="66">
        <v>1649.9615076319317</v>
      </c>
      <c r="G84" s="66">
        <v>2250.701294347878</v>
      </c>
      <c r="H84" s="66">
        <v>3064.9382080454543</v>
      </c>
      <c r="I84" s="66">
        <v>4194.1071372526103</v>
      </c>
    </row>
    <row r="85" spans="1:20" hidden="1" outlineLevel="1" x14ac:dyDescent="0.15">
      <c r="C85" s="41"/>
      <c r="D85" s="40">
        <v>-500</v>
      </c>
      <c r="E85" s="66">
        <v>1697.4189767634025</v>
      </c>
      <c r="F85" s="66">
        <v>2149.9615076319315</v>
      </c>
      <c r="G85" s="66">
        <v>2750.7012943478785</v>
      </c>
      <c r="H85" s="66">
        <v>3564.9382080454548</v>
      </c>
      <c r="I85" s="66">
        <v>4694.1071372526103</v>
      </c>
    </row>
    <row r="86" spans="1:20" hidden="1" outlineLevel="1" x14ac:dyDescent="0.15">
      <c r="C86" s="41"/>
      <c r="D86" s="40">
        <v>0</v>
      </c>
      <c r="E86" s="66">
        <v>2197.4189767634025</v>
      </c>
      <c r="F86" s="66">
        <v>2649.9615076319315</v>
      </c>
      <c r="G86" s="66">
        <v>3250.7012943478776</v>
      </c>
      <c r="H86" s="66">
        <v>4064.9382080454548</v>
      </c>
      <c r="I86" s="66">
        <v>5194.1071372526103</v>
      </c>
    </row>
    <row r="87" spans="1:20" collapsed="1" x14ac:dyDescent="0.15"/>
    <row r="88" spans="1:20" ht="13.5" hidden="1" customHeight="1" x14ac:dyDescent="0.15">
      <c r="A88" s="2" t="s">
        <v>57</v>
      </c>
      <c r="B88" s="3"/>
      <c r="C88" s="3"/>
      <c r="D88" s="3"/>
      <c r="E88" s="3"/>
      <c r="F88" s="3"/>
      <c r="G88" s="3"/>
      <c r="H88" s="3"/>
      <c r="I88" s="3"/>
      <c r="J88" s="3"/>
      <c r="K88" s="3"/>
      <c r="L88" s="3"/>
      <c r="M88" s="3"/>
      <c r="N88" s="3"/>
      <c r="O88" s="3"/>
      <c r="P88" s="3"/>
      <c r="Q88" s="3"/>
      <c r="R88" s="3"/>
      <c r="S88" s="3"/>
      <c r="T88" s="3"/>
    </row>
    <row r="89" spans="1:20" hidden="1" outlineLevel="1" x14ac:dyDescent="0.15"/>
    <row r="90" spans="1:20" hidden="1" outlineLevel="1" x14ac:dyDescent="0.15">
      <c r="A90" t="s">
        <v>0</v>
      </c>
      <c r="E90" s="13">
        <v>90450</v>
      </c>
      <c r="F90" s="13">
        <v>99133.2</v>
      </c>
      <c r="G90" s="13">
        <v>108748.8</v>
      </c>
      <c r="H90" s="13">
        <v>118536.3</v>
      </c>
      <c r="I90" s="13">
        <v>128019.6</v>
      </c>
      <c r="J90" s="13">
        <v>140627.70000000001</v>
      </c>
      <c r="K90" s="13">
        <v>154477.80000000002</v>
      </c>
      <c r="L90" s="13">
        <v>169691.4</v>
      </c>
      <c r="M90" s="13" t="s">
        <v>67</v>
      </c>
      <c r="N90" s="13" t="s">
        <v>67</v>
      </c>
      <c r="O90" s="13" t="s">
        <v>67</v>
      </c>
      <c r="P90" s="13" t="s">
        <v>67</v>
      </c>
      <c r="Q90" s="13" t="s">
        <v>67</v>
      </c>
      <c r="R90" s="13" t="s">
        <v>67</v>
      </c>
      <c r="S90" s="13" t="s">
        <v>67</v>
      </c>
      <c r="T90" s="13" t="s">
        <v>67</v>
      </c>
    </row>
    <row r="91" spans="1:20" hidden="1" outlineLevel="1" x14ac:dyDescent="0.15">
      <c r="A91" t="s">
        <v>58</v>
      </c>
      <c r="E91" s="42">
        <v>0.57244886677722495</v>
      </c>
      <c r="F91" s="42">
        <v>0.56133767496661058</v>
      </c>
      <c r="G91" s="42">
        <v>0.55555371645480223</v>
      </c>
      <c r="H91" s="42">
        <v>0.5611133467132009</v>
      </c>
      <c r="I91" s="42">
        <v>0.54444475689660021</v>
      </c>
      <c r="J91" s="42">
        <v>0.54444252448130781</v>
      </c>
      <c r="K91" s="42">
        <v>0.54444586859730015</v>
      </c>
      <c r="L91" s="42">
        <v>0.54444361941736585</v>
      </c>
      <c r="M91" s="42" t="s">
        <v>67</v>
      </c>
      <c r="N91" s="42" t="s">
        <v>67</v>
      </c>
      <c r="O91" s="42" t="s">
        <v>67</v>
      </c>
      <c r="P91" s="42" t="s">
        <v>67</v>
      </c>
      <c r="Q91" s="42" t="s">
        <v>67</v>
      </c>
      <c r="R91" s="42" t="s">
        <v>67</v>
      </c>
      <c r="S91" s="42" t="s">
        <v>67</v>
      </c>
      <c r="T91" s="42" t="s">
        <v>67</v>
      </c>
    </row>
    <row r="92" spans="1:20" hidden="1" outlineLevel="1" x14ac:dyDescent="0.15"/>
    <row r="93" spans="1:20" hidden="1" outlineLevel="1" x14ac:dyDescent="0.15">
      <c r="A93" t="s">
        <v>1</v>
      </c>
      <c r="E93" s="13">
        <v>38672</v>
      </c>
      <c r="F93" s="13">
        <v>43486</v>
      </c>
      <c r="G93" s="13">
        <v>48333</v>
      </c>
      <c r="H93" s="13">
        <v>52024</v>
      </c>
      <c r="I93" s="13">
        <v>58320</v>
      </c>
      <c r="J93" s="13">
        <v>64064</v>
      </c>
      <c r="K93" s="13">
        <v>70373</v>
      </c>
      <c r="L93" s="13">
        <v>77304</v>
      </c>
      <c r="M93" s="13" t="s">
        <v>67</v>
      </c>
      <c r="N93" s="13" t="s">
        <v>67</v>
      </c>
      <c r="O93" s="13" t="s">
        <v>67</v>
      </c>
      <c r="P93" s="13" t="s">
        <v>67</v>
      </c>
      <c r="Q93" s="13" t="s">
        <v>67</v>
      </c>
      <c r="R93" s="13" t="s">
        <v>67</v>
      </c>
      <c r="S93" s="13" t="s">
        <v>67</v>
      </c>
      <c r="T93" s="13" t="s">
        <v>67</v>
      </c>
    </row>
    <row r="94" spans="1:20" hidden="1" outlineLevel="1" x14ac:dyDescent="0.15">
      <c r="A94" t="s">
        <v>3</v>
      </c>
      <c r="E94" s="13">
        <v>23789</v>
      </c>
      <c r="F94" s="13">
        <v>26812</v>
      </c>
      <c r="G94" s="13">
        <v>27859</v>
      </c>
      <c r="H94" s="13">
        <v>28859</v>
      </c>
      <c r="I94" s="13">
        <v>29659</v>
      </c>
      <c r="J94" s="13">
        <v>32580</v>
      </c>
      <c r="K94" s="13">
        <v>35789</v>
      </c>
      <c r="L94" s="13">
        <v>39313</v>
      </c>
      <c r="M94" s="13" t="s">
        <v>67</v>
      </c>
      <c r="N94" s="13" t="s">
        <v>67</v>
      </c>
      <c r="O94" s="13" t="s">
        <v>67</v>
      </c>
      <c r="P94" s="13" t="s">
        <v>67</v>
      </c>
      <c r="Q94" s="13" t="s">
        <v>67</v>
      </c>
      <c r="R94" s="13" t="s">
        <v>67</v>
      </c>
      <c r="S94" s="13" t="s">
        <v>67</v>
      </c>
      <c r="T94" s="13" t="s">
        <v>67</v>
      </c>
    </row>
    <row r="95" spans="1:20" hidden="1" outlineLevel="1" x14ac:dyDescent="0.15">
      <c r="A95" t="s">
        <v>4</v>
      </c>
      <c r="E95" s="13">
        <v>12871</v>
      </c>
      <c r="F95" s="13">
        <v>13897</v>
      </c>
      <c r="G95" s="13">
        <v>18652</v>
      </c>
      <c r="H95" s="13">
        <v>18952</v>
      </c>
      <c r="I95" s="13">
        <v>19652</v>
      </c>
      <c r="J95" s="13">
        <v>21587</v>
      </c>
      <c r="K95" s="13">
        <v>23714</v>
      </c>
      <c r="L95" s="13">
        <v>26049</v>
      </c>
      <c r="M95" s="13" t="s">
        <v>67</v>
      </c>
      <c r="N95" s="13" t="s">
        <v>67</v>
      </c>
      <c r="O95" s="13" t="s">
        <v>67</v>
      </c>
      <c r="P95" s="13" t="s">
        <v>67</v>
      </c>
      <c r="Q95" s="13" t="s">
        <v>67</v>
      </c>
      <c r="R95" s="13" t="s">
        <v>67</v>
      </c>
      <c r="S95" s="13" t="s">
        <v>67</v>
      </c>
      <c r="T95" s="13" t="s">
        <v>67</v>
      </c>
    </row>
    <row r="96" spans="1:20" hidden="1" outlineLevel="1" x14ac:dyDescent="0.15">
      <c r="A96" t="s">
        <v>5</v>
      </c>
      <c r="E96" s="13">
        <v>5000</v>
      </c>
      <c r="F96" s="13">
        <v>5000</v>
      </c>
      <c r="G96" s="13">
        <v>5000</v>
      </c>
      <c r="H96" s="13">
        <v>5100</v>
      </c>
      <c r="I96" s="13">
        <v>5100</v>
      </c>
      <c r="J96" s="13">
        <v>5602</v>
      </c>
      <c r="K96" s="13"/>
      <c r="L96" s="13">
        <v>6760</v>
      </c>
      <c r="M96" s="13" t="s">
        <v>67</v>
      </c>
      <c r="N96" s="13" t="s">
        <v>67</v>
      </c>
      <c r="O96" s="13" t="s">
        <v>67</v>
      </c>
      <c r="P96" s="13" t="s">
        <v>67</v>
      </c>
      <c r="Q96" s="13" t="s">
        <v>67</v>
      </c>
      <c r="R96" s="13" t="s">
        <v>67</v>
      </c>
      <c r="S96" s="13" t="s">
        <v>67</v>
      </c>
      <c r="T96" s="13" t="s">
        <v>67</v>
      </c>
    </row>
    <row r="97" spans="1:20" hidden="1" outlineLevel="1" x14ac:dyDescent="0.15">
      <c r="A97" t="s">
        <v>7</v>
      </c>
      <c r="E97" s="13">
        <v>5445</v>
      </c>
      <c r="F97" s="13">
        <v>5867</v>
      </c>
      <c r="G97" s="13">
        <v>5877</v>
      </c>
      <c r="H97" s="13">
        <v>7737</v>
      </c>
      <c r="I97" s="13">
        <v>8854</v>
      </c>
      <c r="J97" s="13">
        <v>9726</v>
      </c>
      <c r="K97" s="13">
        <v>10684</v>
      </c>
      <c r="L97" s="13">
        <v>11736</v>
      </c>
      <c r="M97" s="13" t="s">
        <v>67</v>
      </c>
      <c r="N97" s="13" t="s">
        <v>67</v>
      </c>
      <c r="O97" s="13" t="s">
        <v>67</v>
      </c>
      <c r="P97" s="13" t="s">
        <v>67</v>
      </c>
      <c r="Q97" s="13" t="s">
        <v>67</v>
      </c>
      <c r="R97" s="13" t="s">
        <v>67</v>
      </c>
      <c r="S97" s="13" t="s">
        <v>67</v>
      </c>
      <c r="T97" s="13" t="s">
        <v>67</v>
      </c>
    </row>
    <row r="98" spans="1:20" hidden="1" outlineLevel="1" x14ac:dyDescent="0.15">
      <c r="A98" t="s">
        <v>8</v>
      </c>
      <c r="E98" s="13">
        <v>4673</v>
      </c>
      <c r="F98" s="13">
        <v>4071.1999999999971</v>
      </c>
      <c r="G98" s="13">
        <v>3027.8000000000029</v>
      </c>
      <c r="H98" s="13">
        <v>5864.3000000000029</v>
      </c>
      <c r="I98" s="13">
        <v>6434.6000000000058</v>
      </c>
      <c r="J98" s="13">
        <v>7068.7000000000116</v>
      </c>
      <c r="K98" s="13">
        <v>7763.8000000000175</v>
      </c>
      <c r="L98" s="13">
        <v>8529.3999999999942</v>
      </c>
      <c r="M98" s="13" t="s">
        <v>67</v>
      </c>
      <c r="N98" s="13" t="s">
        <v>67</v>
      </c>
      <c r="O98" s="13" t="s">
        <v>67</v>
      </c>
      <c r="P98" s="13" t="s">
        <v>67</v>
      </c>
      <c r="Q98" s="13" t="s">
        <v>67</v>
      </c>
      <c r="R98" s="13" t="s">
        <v>67</v>
      </c>
      <c r="S98" s="13" t="s">
        <v>67</v>
      </c>
      <c r="T98" s="13" t="s">
        <v>67</v>
      </c>
    </row>
    <row r="99" spans="1:20" hidden="1" outlineLevel="1" x14ac:dyDescent="0.15"/>
    <row r="100" spans="1:20" hidden="1" outlineLevel="1" x14ac:dyDescent="0.15"/>
    <row r="101" spans="1:20" hidden="1" outlineLevel="1" x14ac:dyDescent="0.15"/>
    <row r="102" spans="1:20" hidden="1" outlineLevel="1" x14ac:dyDescent="0.15"/>
    <row r="103" spans="1:20" hidden="1" outlineLevel="1" x14ac:dyDescent="0.15"/>
    <row r="104" spans="1:20" hidden="1" outlineLevel="1" x14ac:dyDescent="0.15"/>
    <row r="105" spans="1:20" hidden="1" outlineLevel="1" x14ac:dyDescent="0.15"/>
    <row r="106" spans="1:20" hidden="1" outlineLevel="1" x14ac:dyDescent="0.15"/>
    <row r="107" spans="1:20" hidden="1" outlineLevel="1" x14ac:dyDescent="0.15"/>
    <row r="108" spans="1:20" hidden="1" outlineLevel="1" x14ac:dyDescent="0.15"/>
    <row r="109" spans="1:20" hidden="1" outlineLevel="1" x14ac:dyDescent="0.15"/>
    <row r="110" spans="1:20" hidden="1" outlineLevel="1" x14ac:dyDescent="0.15"/>
    <row r="111" spans="1:20" hidden="1" outlineLevel="1" x14ac:dyDescent="0.15"/>
    <row r="112" spans="1:20" hidden="1" outlineLevel="1" x14ac:dyDescent="0.15"/>
    <row r="113" spans="2:3" hidden="1" outlineLevel="1" x14ac:dyDescent="0.15"/>
    <row r="114" spans="2:3" hidden="1" outlineLevel="1" x14ac:dyDescent="0.15"/>
    <row r="115" spans="2:3" hidden="1" outlineLevel="1" x14ac:dyDescent="0.15"/>
    <row r="116" spans="2:3" hidden="1" outlineLevel="1" x14ac:dyDescent="0.15"/>
    <row r="117" spans="2:3" hidden="1" collapsed="1" x14ac:dyDescent="0.15"/>
    <row r="120" spans="2:3" x14ac:dyDescent="0.15">
      <c r="B120" s="13"/>
      <c r="C120" s="13"/>
    </row>
  </sheetData>
  <sheetProtection formatCells="0" formatColumns="0" formatRows="0" insertColumns="0" insertRows="0" insertHyperlinks="0" deleteColumns="0" deleteRows="0" selectLockedCells="1" sort="0" autoFilter="0" pivotTables="0" selectUnlockedCells="1"/>
  <conditionalFormatting sqref="E7:T7">
    <cfRule type="cellIs" dxfId="3" priority="4" operator="lessThan">
      <formula>2090</formula>
    </cfRule>
  </conditionalFormatting>
  <conditionalFormatting sqref="E82:I86">
    <cfRule type="cellIs" dxfId="2" priority="1" operator="between">
      <formula>0</formula>
      <formula>2000</formula>
    </cfRule>
    <cfRule type="cellIs" dxfId="1" priority="2" operator="greaterThan">
      <formula>2000</formula>
    </cfRule>
    <cfRule type="cellIs" dxfId="0" priority="3" operator="lessThan">
      <formula>0</formula>
    </cfRule>
  </conditionalFormatting>
  <pageMargins left="0.7" right="0.7" top="0.75" bottom="0.75" header="0.3" footer="0.3"/>
  <pageSetup paperSize="9" orientation="landscape" r:id="rId1"/>
  <drawing r:id="rId2"/>
  <legacyDrawing r:id="rId3"/>
  <mc:AlternateContent xmlns:mc="http://schemas.openxmlformats.org/markup-compatibility/2006">
    <mc:Choice Requires="x14">
      <controls>
        <mc:AlternateContent xmlns:mc="http://schemas.openxmlformats.org/markup-compatibility/2006">
          <mc:Choice Requires="x14">
            <control shapeId="2135" r:id="rId4" name="Drop Down 87">
              <controlPr defaultSize="0" autoLine="0" autoPict="0">
                <anchor moveWithCells="1">
                  <from>
                    <xdr:col>1</xdr:col>
                    <xdr:colOff>825500</xdr:colOff>
                    <xdr:row>5</xdr:row>
                    <xdr:rowOff>12700</xdr:rowOff>
                  </from>
                  <to>
                    <xdr:col>3</xdr:col>
                    <xdr:colOff>304800</xdr:colOff>
                    <xdr:row>5</xdr:row>
                    <xdr:rowOff>355600</xdr:rowOff>
                  </to>
                </anchor>
              </controlPr>
            </control>
          </mc:Choice>
        </mc:AlternateContent>
        <mc:AlternateContent xmlns:mc="http://schemas.openxmlformats.org/markup-compatibility/2006">
          <mc:Choice Requires="x14">
            <control shapeId="2143" r:id="rId5" name="Drop Down 95">
              <controlPr defaultSize="0" autoLine="0" autoPict="0">
                <anchor moveWithCells="1">
                  <from>
                    <xdr:col>4</xdr:col>
                    <xdr:colOff>50800</xdr:colOff>
                    <xdr:row>5</xdr:row>
                    <xdr:rowOff>0</xdr:rowOff>
                  </from>
                  <to>
                    <xdr:col>5</xdr:col>
                    <xdr:colOff>431800</xdr:colOff>
                    <xdr:row>5</xdr:row>
                    <xdr:rowOff>342900</xdr:rowOff>
                  </to>
                </anchor>
              </controlPr>
            </control>
          </mc:Choice>
        </mc:AlternateContent>
        <mc:AlternateContent xmlns:mc="http://schemas.openxmlformats.org/markup-compatibility/2006">
          <mc:Choice Requires="x14">
            <control shapeId="2144" r:id="rId6" name="Drop Down 96">
              <controlPr defaultSize="0" autoLine="0" autoPict="0">
                <anchor moveWithCells="1">
                  <from>
                    <xdr:col>8</xdr:col>
                    <xdr:colOff>25400</xdr:colOff>
                    <xdr:row>4</xdr:row>
                    <xdr:rowOff>355600</xdr:rowOff>
                  </from>
                  <to>
                    <xdr:col>9</xdr:col>
                    <xdr:colOff>609600</xdr:colOff>
                    <xdr:row>5</xdr:row>
                    <xdr:rowOff>330200</xdr:rowOff>
                  </to>
                </anchor>
              </controlPr>
            </control>
          </mc:Choice>
        </mc:AlternateContent>
        <mc:AlternateContent xmlns:mc="http://schemas.openxmlformats.org/markup-compatibility/2006">
          <mc:Choice Requires="x14">
            <control shapeId="2171" r:id="rId7" name="Drop Down 123">
              <controlPr defaultSize="0" autoLine="0" autoPict="0">
                <anchor moveWithCells="1">
                  <from>
                    <xdr:col>0</xdr:col>
                    <xdr:colOff>0</xdr:colOff>
                    <xdr:row>5</xdr:row>
                    <xdr:rowOff>12700</xdr:rowOff>
                  </from>
                  <to>
                    <xdr:col>1</xdr:col>
                    <xdr:colOff>0</xdr:colOff>
                    <xdr:row>5</xdr:row>
                    <xdr:rowOff>381000</xdr:rowOff>
                  </to>
                </anchor>
              </controlPr>
            </control>
          </mc:Choice>
        </mc:AlternateContent>
      </controls>
    </mc:Choice>
  </mc:AlternateContent>
  <extLst>
    <ext xmlns:x14="http://schemas.microsoft.com/office/spreadsheetml/2009/9/main" uri="{CCE6A557-97BC-4b89-ADB6-D9C93CAAB3DF}">
      <x14:dataValidations xmlns:xm="http://schemas.microsoft.com/office/excel/2006/main" count="2">
        <x14:dataValidation type="list" allowBlank="1" showInputMessage="1" showErrorMessage="1" xr:uid="{6394F1A4-C600-854D-8263-7B1A0B7E3451}">
          <x14:formula1>
            <xm:f>'Raw Data'!$B$1:$K$1</xm:f>
          </x14:formula1>
          <xm:sqref>E72:G72</xm:sqref>
        </x14:dataValidation>
        <x14:dataValidation type="list" allowBlank="1" showInputMessage="1" showErrorMessage="1" xr:uid="{128F668B-4B7C-A14A-A678-1C2E28301812}">
          <x14:formula1>
            <xm:f>'Raw Data'!$A$3:$A$12</xm:f>
          </x14:formula1>
          <xm:sqref>C73:C75</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S29"/>
  <sheetViews>
    <sheetView zoomScale="184" zoomScaleNormal="100" workbookViewId="0">
      <selection activeCell="E17" sqref="E17"/>
    </sheetView>
  </sheetViews>
  <sheetFormatPr baseColWidth="10" defaultColWidth="8.796875" defaultRowHeight="14" outlineLevelRow="1" outlineLevelCol="2" x14ac:dyDescent="0.15"/>
  <cols>
    <col min="1" max="1" width="17.796875" bestFit="1" customWidth="1"/>
    <col min="2" max="3" width="9.3984375" customWidth="1"/>
    <col min="4" max="5" width="9.3984375" customWidth="1" outlineLevel="1"/>
    <col min="6" max="7" width="9.3984375" customWidth="1" outlineLevel="2"/>
    <col min="8" max="9" width="9.3984375" customWidth="1" outlineLevel="1"/>
    <col min="10" max="11" width="9.3984375" customWidth="1"/>
  </cols>
  <sheetData>
    <row r="1" spans="1:19" x14ac:dyDescent="0.15">
      <c r="A1" t="s">
        <v>9</v>
      </c>
      <c r="B1">
        <v>2020</v>
      </c>
      <c r="C1">
        <v>2021</v>
      </c>
      <c r="D1">
        <v>2022</v>
      </c>
      <c r="E1">
        <v>2023</v>
      </c>
      <c r="F1">
        <v>2024</v>
      </c>
      <c r="G1">
        <v>2025</v>
      </c>
      <c r="H1">
        <v>2026</v>
      </c>
      <c r="I1">
        <v>2027</v>
      </c>
      <c r="J1">
        <v>2028</v>
      </c>
      <c r="K1">
        <v>2029</v>
      </c>
    </row>
    <row r="3" spans="1:19" outlineLevel="1" x14ac:dyDescent="0.15">
      <c r="A3" t="s">
        <v>0</v>
      </c>
      <c r="B3" s="1">
        <v>100500</v>
      </c>
      <c r="C3" s="1">
        <v>110148</v>
      </c>
      <c r="D3" s="1">
        <v>120832</v>
      </c>
      <c r="E3" s="1">
        <v>131707</v>
      </c>
      <c r="F3" s="1">
        <v>142244</v>
      </c>
      <c r="G3">
        <v>156253</v>
      </c>
      <c r="H3">
        <v>171642</v>
      </c>
      <c r="I3">
        <v>188546</v>
      </c>
      <c r="J3">
        <v>207115</v>
      </c>
      <c r="K3">
        <v>227513</v>
      </c>
    </row>
    <row r="4" spans="1:19" outlineLevel="1" x14ac:dyDescent="0.15">
      <c r="A4" t="s">
        <v>1</v>
      </c>
      <c r="B4" s="1">
        <v>38672</v>
      </c>
      <c r="C4" s="1">
        <v>43486</v>
      </c>
      <c r="D4" s="1">
        <v>48333</v>
      </c>
      <c r="E4" s="1">
        <v>52024</v>
      </c>
      <c r="F4" s="1">
        <v>58320</v>
      </c>
      <c r="G4">
        <v>64064</v>
      </c>
      <c r="H4">
        <v>70373</v>
      </c>
      <c r="I4">
        <v>77304</v>
      </c>
      <c r="J4">
        <v>84917</v>
      </c>
      <c r="K4">
        <v>93280</v>
      </c>
    </row>
    <row r="5" spans="1:19" outlineLevel="1" x14ac:dyDescent="0.15">
      <c r="A5" t="s">
        <v>2</v>
      </c>
      <c r="B5" s="1">
        <v>61828</v>
      </c>
      <c r="C5" s="1">
        <v>66662</v>
      </c>
      <c r="D5" s="1">
        <v>72499</v>
      </c>
      <c r="E5" s="1">
        <v>79683</v>
      </c>
      <c r="F5" s="1">
        <v>83924</v>
      </c>
      <c r="G5" s="1">
        <v>92189</v>
      </c>
      <c r="H5" s="1">
        <v>101269</v>
      </c>
      <c r="I5" s="1">
        <v>111242</v>
      </c>
      <c r="J5" s="1">
        <v>122198</v>
      </c>
      <c r="K5" s="1">
        <v>134233</v>
      </c>
    </row>
    <row r="6" spans="1:19" x14ac:dyDescent="0.15">
      <c r="A6" t="s">
        <v>3</v>
      </c>
      <c r="B6" s="1">
        <v>23789</v>
      </c>
      <c r="C6" s="1">
        <v>26812</v>
      </c>
      <c r="D6" s="1">
        <v>27859</v>
      </c>
      <c r="E6" s="1">
        <v>28859</v>
      </c>
      <c r="F6" s="1">
        <v>29659</v>
      </c>
      <c r="G6">
        <v>32580</v>
      </c>
      <c r="H6">
        <v>35789</v>
      </c>
      <c r="I6">
        <v>39313</v>
      </c>
      <c r="J6">
        <v>43185</v>
      </c>
      <c r="K6">
        <v>47438</v>
      </c>
    </row>
    <row r="7" spans="1:19" x14ac:dyDescent="0.15">
      <c r="A7" t="s">
        <v>4</v>
      </c>
      <c r="B7" s="1">
        <v>12871</v>
      </c>
      <c r="C7" s="1">
        <v>13897</v>
      </c>
      <c r="D7" s="1">
        <v>18652</v>
      </c>
      <c r="E7" s="1">
        <v>18952</v>
      </c>
      <c r="F7" s="1">
        <v>19652</v>
      </c>
      <c r="G7">
        <v>21587</v>
      </c>
      <c r="H7">
        <v>23714</v>
      </c>
      <c r="I7">
        <v>26049</v>
      </c>
      <c r="J7">
        <v>28614</v>
      </c>
      <c r="K7">
        <v>31433</v>
      </c>
    </row>
    <row r="8" spans="1:19" x14ac:dyDescent="0.15">
      <c r="A8" t="s">
        <v>5</v>
      </c>
      <c r="B8" s="1">
        <v>5000</v>
      </c>
      <c r="C8" s="1">
        <v>5000</v>
      </c>
      <c r="D8" s="1">
        <v>5000</v>
      </c>
      <c r="E8" s="1">
        <v>5100</v>
      </c>
      <c r="F8" s="1">
        <v>5100</v>
      </c>
      <c r="G8">
        <v>5602</v>
      </c>
      <c r="H8">
        <v>6154</v>
      </c>
      <c r="I8">
        <v>6760</v>
      </c>
      <c r="J8">
        <v>7426</v>
      </c>
      <c r="K8">
        <v>8157</v>
      </c>
    </row>
    <row r="9" spans="1:19" x14ac:dyDescent="0.15">
      <c r="A9" t="s">
        <v>6</v>
      </c>
      <c r="B9" s="1">
        <v>20168</v>
      </c>
      <c r="C9" s="1">
        <v>20953</v>
      </c>
      <c r="D9" s="1">
        <v>20988</v>
      </c>
      <c r="E9" s="1">
        <v>26772</v>
      </c>
      <c r="F9" s="1">
        <v>29513</v>
      </c>
      <c r="G9" s="1">
        <v>32420</v>
      </c>
      <c r="H9" s="1">
        <v>35612</v>
      </c>
      <c r="I9" s="1">
        <v>39120</v>
      </c>
      <c r="J9" s="1">
        <v>42973</v>
      </c>
      <c r="K9" s="1">
        <v>47205</v>
      </c>
    </row>
    <row r="10" spans="1:19" outlineLevel="1" x14ac:dyDescent="0.15">
      <c r="A10" t="s">
        <v>7</v>
      </c>
      <c r="B10" s="1">
        <v>5445</v>
      </c>
      <c r="C10" s="1">
        <v>5867</v>
      </c>
      <c r="D10" s="1">
        <v>5877</v>
      </c>
      <c r="E10" s="1">
        <v>7737</v>
      </c>
      <c r="F10" s="1">
        <v>8854</v>
      </c>
      <c r="G10">
        <v>9726</v>
      </c>
      <c r="H10">
        <v>10684</v>
      </c>
      <c r="I10">
        <v>11736</v>
      </c>
      <c r="J10">
        <v>12892</v>
      </c>
      <c r="K10">
        <v>14161</v>
      </c>
    </row>
    <row r="11" spans="1:19" outlineLevel="1" x14ac:dyDescent="0.15">
      <c r="A11" t="s">
        <v>8</v>
      </c>
      <c r="B11" s="1">
        <v>14723</v>
      </c>
      <c r="C11" s="1">
        <v>15086</v>
      </c>
      <c r="D11" s="1">
        <v>15111</v>
      </c>
      <c r="E11" s="1">
        <v>19035</v>
      </c>
      <c r="F11" s="1">
        <v>20659</v>
      </c>
      <c r="G11" s="1">
        <v>22694</v>
      </c>
      <c r="H11" s="1">
        <v>24928</v>
      </c>
      <c r="I11" s="1">
        <v>27384</v>
      </c>
      <c r="J11" s="1">
        <v>30081</v>
      </c>
      <c r="K11" s="1">
        <v>33044</v>
      </c>
    </row>
    <row r="12" spans="1:19" outlineLevel="1" x14ac:dyDescent="0.15">
      <c r="A12" t="s">
        <v>35</v>
      </c>
      <c r="B12">
        <v>-1000</v>
      </c>
      <c r="C12">
        <v>200</v>
      </c>
      <c r="D12">
        <v>500</v>
      </c>
      <c r="E12">
        <v>700</v>
      </c>
      <c r="F12">
        <v>900</v>
      </c>
      <c r="G12">
        <v>900</v>
      </c>
      <c r="H12">
        <v>900</v>
      </c>
      <c r="I12">
        <v>900</v>
      </c>
      <c r="J12">
        <v>900</v>
      </c>
      <c r="K12">
        <v>900</v>
      </c>
      <c r="L12">
        <v>900</v>
      </c>
      <c r="M12">
        <v>900</v>
      </c>
      <c r="N12">
        <v>900</v>
      </c>
      <c r="O12">
        <v>900</v>
      </c>
      <c r="P12">
        <v>900</v>
      </c>
      <c r="Q12">
        <v>900</v>
      </c>
      <c r="R12">
        <v>900</v>
      </c>
      <c r="S12">
        <v>900</v>
      </c>
    </row>
    <row r="13" spans="1:19" x14ac:dyDescent="0.15">
      <c r="B13" s="1"/>
      <c r="C13" s="1"/>
      <c r="D13" s="1"/>
      <c r="E13" s="1"/>
      <c r="F13" s="1"/>
      <c r="G13" s="1"/>
      <c r="H13" s="1"/>
      <c r="I13" s="1"/>
      <c r="J13" s="1"/>
      <c r="K13" s="1"/>
    </row>
    <row r="14" spans="1:19" x14ac:dyDescent="0.15">
      <c r="B14" s="1"/>
      <c r="C14" s="1"/>
      <c r="D14" s="1"/>
      <c r="E14" s="1"/>
      <c r="F14" s="1"/>
      <c r="G14" s="1"/>
      <c r="H14" s="1"/>
      <c r="I14" s="1"/>
      <c r="J14" s="1"/>
      <c r="K14" s="1"/>
    </row>
    <row r="15" spans="1:19" x14ac:dyDescent="0.15">
      <c r="A15">
        <v>1</v>
      </c>
      <c r="B15" s="1"/>
      <c r="C15" s="1"/>
      <c r="D15" s="1"/>
      <c r="E15" s="1"/>
      <c r="F15" s="1"/>
      <c r="G15" s="1"/>
      <c r="H15" s="1"/>
      <c r="I15" s="1"/>
      <c r="J15" s="1"/>
      <c r="K15" s="1"/>
    </row>
    <row r="16" spans="1:19" x14ac:dyDescent="0.15">
      <c r="A16">
        <f>A15+1</f>
        <v>2</v>
      </c>
      <c r="B16" s="1"/>
      <c r="C16" s="1"/>
      <c r="D16" s="1"/>
      <c r="E16" s="1"/>
      <c r="F16" s="1"/>
      <c r="G16" s="1"/>
      <c r="H16" s="1"/>
      <c r="I16" s="1"/>
      <c r="J16" s="1"/>
      <c r="K16" s="1"/>
    </row>
    <row r="17" spans="1:11" x14ac:dyDescent="0.15">
      <c r="A17">
        <f t="shared" ref="A17:A29" si="0">A16+1</f>
        <v>3</v>
      </c>
      <c r="B17" s="1"/>
      <c r="C17" s="1"/>
      <c r="D17" s="1"/>
      <c r="E17" s="1"/>
      <c r="F17" s="1"/>
      <c r="G17" s="1"/>
      <c r="H17" s="1"/>
      <c r="I17" s="1"/>
      <c r="J17" s="1"/>
      <c r="K17" s="1"/>
    </row>
    <row r="18" spans="1:11" x14ac:dyDescent="0.15">
      <c r="A18">
        <f t="shared" si="0"/>
        <v>4</v>
      </c>
      <c r="B18" s="1"/>
      <c r="C18" s="1"/>
      <c r="D18" s="1"/>
      <c r="E18" s="1"/>
      <c r="F18" s="1"/>
      <c r="G18" s="1"/>
      <c r="H18" s="1"/>
      <c r="I18" s="1"/>
      <c r="J18" s="1"/>
      <c r="K18" s="1"/>
    </row>
    <row r="19" spans="1:11" x14ac:dyDescent="0.15">
      <c r="A19">
        <f t="shared" si="0"/>
        <v>5</v>
      </c>
      <c r="B19" s="1"/>
      <c r="C19" s="1"/>
      <c r="D19" s="1"/>
      <c r="E19" s="1"/>
      <c r="F19" s="1"/>
      <c r="G19" s="1"/>
      <c r="H19" s="1"/>
      <c r="I19" s="1"/>
      <c r="J19" s="1"/>
      <c r="K19" s="1"/>
    </row>
    <row r="20" spans="1:11" x14ac:dyDescent="0.15">
      <c r="A20">
        <f t="shared" si="0"/>
        <v>6</v>
      </c>
      <c r="B20" s="1"/>
      <c r="C20" s="1"/>
      <c r="D20" s="1"/>
      <c r="E20" s="1"/>
      <c r="F20" s="1"/>
      <c r="G20" s="1"/>
      <c r="H20" s="1"/>
      <c r="I20" s="1"/>
      <c r="J20" s="1"/>
      <c r="K20" s="1"/>
    </row>
    <row r="21" spans="1:11" x14ac:dyDescent="0.15">
      <c r="A21">
        <f t="shared" si="0"/>
        <v>7</v>
      </c>
      <c r="B21" s="1"/>
      <c r="C21" s="1"/>
      <c r="D21" s="1"/>
      <c r="E21" s="1"/>
      <c r="F21" s="1"/>
      <c r="G21" s="1"/>
      <c r="H21" s="1"/>
      <c r="I21" s="1"/>
      <c r="J21" s="1"/>
      <c r="K21" s="1"/>
    </row>
    <row r="22" spans="1:11" x14ac:dyDescent="0.15">
      <c r="A22">
        <f t="shared" si="0"/>
        <v>8</v>
      </c>
      <c r="B22" s="1"/>
      <c r="C22" s="1"/>
      <c r="D22" s="1"/>
      <c r="E22" s="1"/>
      <c r="F22" s="1"/>
      <c r="G22" s="1"/>
      <c r="H22" s="1"/>
      <c r="I22" s="1"/>
      <c r="J22" s="1"/>
      <c r="K22" s="1"/>
    </row>
    <row r="23" spans="1:11" x14ac:dyDescent="0.15">
      <c r="A23">
        <f t="shared" si="0"/>
        <v>9</v>
      </c>
      <c r="B23" s="1"/>
      <c r="C23" s="1"/>
      <c r="D23" s="1"/>
      <c r="E23" s="1"/>
      <c r="F23" s="1"/>
      <c r="G23" s="1"/>
      <c r="H23" s="1"/>
      <c r="I23" s="1"/>
      <c r="J23" s="1"/>
      <c r="K23" s="1"/>
    </row>
    <row r="24" spans="1:11" x14ac:dyDescent="0.15">
      <c r="A24">
        <f t="shared" si="0"/>
        <v>10</v>
      </c>
      <c r="B24" s="1"/>
      <c r="C24" s="1"/>
      <c r="D24" s="1"/>
      <c r="E24" s="1"/>
      <c r="F24" s="1"/>
      <c r="G24" s="1"/>
      <c r="H24" s="1"/>
      <c r="I24" s="1"/>
      <c r="J24" s="1"/>
      <c r="K24" s="1"/>
    </row>
    <row r="25" spans="1:11" x14ac:dyDescent="0.15">
      <c r="A25">
        <f t="shared" si="0"/>
        <v>11</v>
      </c>
      <c r="B25" s="1"/>
      <c r="C25" s="1"/>
      <c r="D25" s="1"/>
      <c r="E25" s="1"/>
      <c r="F25" s="1"/>
      <c r="G25" s="1"/>
      <c r="H25" s="1"/>
      <c r="I25" s="1"/>
      <c r="J25" s="1"/>
      <c r="K25" s="1"/>
    </row>
    <row r="26" spans="1:11" x14ac:dyDescent="0.15">
      <c r="A26">
        <f t="shared" si="0"/>
        <v>12</v>
      </c>
      <c r="B26" s="1"/>
      <c r="C26" s="1"/>
      <c r="D26" s="1"/>
      <c r="E26" s="1"/>
      <c r="F26" s="1"/>
      <c r="G26" s="1"/>
      <c r="H26" s="1"/>
      <c r="I26" s="1"/>
      <c r="J26" s="1"/>
      <c r="K26" s="1"/>
    </row>
    <row r="27" spans="1:11" x14ac:dyDescent="0.15">
      <c r="A27">
        <f t="shared" si="0"/>
        <v>13</v>
      </c>
      <c r="B27" s="1"/>
      <c r="C27" s="1"/>
      <c r="D27" s="1"/>
      <c r="E27" s="1"/>
      <c r="F27" s="1"/>
      <c r="G27" s="1"/>
      <c r="H27" s="1"/>
      <c r="I27" s="1"/>
      <c r="J27" s="1"/>
      <c r="K27" s="1"/>
    </row>
    <row r="28" spans="1:11" x14ac:dyDescent="0.15">
      <c r="A28">
        <f t="shared" si="0"/>
        <v>14</v>
      </c>
    </row>
    <row r="29" spans="1:11" x14ac:dyDescent="0.15">
      <c r="A29">
        <f t="shared" si="0"/>
        <v>15</v>
      </c>
    </row>
  </sheetData>
  <pageMargins left="0.7" right="0.7" top="0.75" bottom="0.75" header="0.3" footer="0.3"/>
</worksheet>
</file>

<file path=docMetadata/LabelInfo.xml><?xml version="1.0" encoding="utf-8"?>
<clbl:labelList xmlns:clbl="http://schemas.microsoft.com/office/2020/mipLabelMetadata">
  <clbl:label id="{9860db96-b53f-4bd7-8137-e09357cab268}" enabled="1" method="Standard" siteId="{b78d03e6-f6a2-4cff-83be-847d1a6453f9}" contentBits="0"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Cover</vt:lpstr>
      <vt:lpstr>Analysis</vt:lpstr>
      <vt:lpstr>Raw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CFI</dc:creator>
  <cp:lastModifiedBy>DENG Chang</cp:lastModifiedBy>
  <dcterms:created xsi:type="dcterms:W3CDTF">2017-03-02T21:48:17Z</dcterms:created>
  <dcterms:modified xsi:type="dcterms:W3CDTF">2025-01-30T21:12:12Z</dcterms:modified>
</cp:coreProperties>
</file>