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90" windowWidth="20085" windowHeight="7335"/>
  </bookViews>
  <sheets>
    <sheet name="保险分级" sheetId="1" r:id="rId1"/>
    <sheet name="100联接" sheetId="2" r:id="rId2"/>
  </sheets>
  <externalReferences>
    <externalReference r:id="rId3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H27" i="2" s="1"/>
  <c r="J27" i="2" s="1"/>
  <c r="E12" i="1"/>
  <c r="H27" i="1" s="1"/>
  <c r="J27" i="1" s="1"/>
  <c r="D16" i="2"/>
  <c r="E16" i="2"/>
  <c r="E16" i="1"/>
  <c r="E8" i="1"/>
  <c r="I19" i="1" l="1"/>
  <c r="I19" i="2" l="1"/>
  <c r="D12" i="2"/>
  <c r="D12" i="1"/>
  <c r="G22" i="2"/>
  <c r="D8" i="2"/>
  <c r="D8" i="1"/>
  <c r="E8" i="2"/>
  <c r="G21" i="2" s="1"/>
  <c r="K27" i="2" l="1"/>
  <c r="I21" i="2"/>
  <c r="J21" i="2" s="1"/>
  <c r="H21" i="2"/>
  <c r="H24" i="1"/>
  <c r="B1" i="2"/>
  <c r="B2" i="2"/>
  <c r="B3" i="2"/>
  <c r="B1" i="1"/>
  <c r="B2" i="1"/>
  <c r="B3" i="1"/>
  <c r="D16" i="1" l="1"/>
  <c r="E20" i="2"/>
  <c r="D20" i="2"/>
  <c r="B25" i="2" l="1"/>
  <c r="C25" i="2" s="1"/>
  <c r="H24" i="2"/>
  <c r="H26" i="2" s="1"/>
  <c r="H28" i="2" s="1"/>
  <c r="G8" i="2"/>
  <c r="D5" i="2"/>
  <c r="D10" i="2" l="1"/>
  <c r="F27" i="2"/>
  <c r="B28" i="1"/>
  <c r="I28" i="2" l="1"/>
  <c r="K27" i="1" l="1"/>
  <c r="I21" i="1"/>
  <c r="J21" i="1" s="1"/>
  <c r="H26" i="1" l="1"/>
  <c r="H28" i="1" s="1"/>
  <c r="G22" i="1" l="1"/>
  <c r="G21" i="1" s="1"/>
  <c r="C28" i="1"/>
  <c r="H21" i="1" l="1"/>
  <c r="F27" i="1" l="1"/>
  <c r="E20" i="1"/>
  <c r="D20" i="1" l="1"/>
  <c r="G8" i="1" l="1"/>
  <c r="D5" i="1"/>
  <c r="D10" i="1" l="1"/>
  <c r="G10" i="1" l="1"/>
  <c r="I28" i="1"/>
</calcChain>
</file>

<file path=xl/sharedStrings.xml><?xml version="1.0" encoding="utf-8"?>
<sst xmlns="http://schemas.openxmlformats.org/spreadsheetml/2006/main" count="133" uniqueCount="67">
  <si>
    <t>银行间回购到期</t>
  </si>
  <si>
    <t>交易所回购到期</t>
  </si>
  <si>
    <t>T日头寸</t>
  </si>
  <si>
    <t>冻结管理费、托管费</t>
  </si>
  <si>
    <t>冻结备付金、保证金</t>
  </si>
  <si>
    <t>TA预确认赎回数据</t>
  </si>
  <si>
    <t>T+1日赎回款</t>
  </si>
  <si>
    <t>银行间回购交易</t>
  </si>
  <si>
    <t>银行间债券交易</t>
  </si>
  <si>
    <t>日期:</t>
  </si>
  <si>
    <t>T日活期存款正算</t>
    <phoneticPr fontId="1" type="noConversion"/>
  </si>
  <si>
    <t>T日活期存款倒算</t>
    <phoneticPr fontId="1" type="noConversion"/>
  </si>
  <si>
    <t>涉及5%的</t>
    <phoneticPr fontId="1" type="noConversion"/>
  </si>
  <si>
    <t>备注</t>
    <phoneticPr fontId="1" type="noConversion"/>
  </si>
  <si>
    <t>T日终加活期存款、加资产净值</t>
    <phoneticPr fontId="1" type="noConversion"/>
  </si>
  <si>
    <t>T+1日终减活期存款、减资产净值</t>
    <phoneticPr fontId="1" type="noConversion"/>
  </si>
  <si>
    <t>T+2日终减活期存款、减资产净值</t>
    <phoneticPr fontId="1" type="noConversion"/>
  </si>
  <si>
    <t>T日初活期存款</t>
    <phoneticPr fontId="1" type="noConversion"/>
  </si>
  <si>
    <t>T日终减活期存款、减资产净值</t>
    <phoneticPr fontId="1" type="noConversion"/>
  </si>
  <si>
    <t>T日终加资产净值，T+1日初加活期存款</t>
    <phoneticPr fontId="1" type="noConversion"/>
  </si>
  <si>
    <t>T日可用头寸（T+0头寸）</t>
    <phoneticPr fontId="1" type="noConversion"/>
  </si>
  <si>
    <t>T+1可用头寸（T+1头寸）</t>
    <phoneticPr fontId="1" type="noConversion"/>
  </si>
  <si>
    <t>T-1申购</t>
    <phoneticPr fontId="1" type="noConversion"/>
  </si>
  <si>
    <t>T-1赎回</t>
    <phoneticPr fontId="1" type="noConversion"/>
  </si>
  <si>
    <t>T日</t>
    <phoneticPr fontId="1" type="noConversion"/>
  </si>
  <si>
    <t>T+1日</t>
    <phoneticPr fontId="1" type="noConversion"/>
  </si>
  <si>
    <t>T+2日</t>
  </si>
  <si>
    <t>保证T+1日终头寸为正，T日需卖出</t>
    <phoneticPr fontId="1" type="noConversion"/>
  </si>
  <si>
    <t>保证T日终头寸为正，T日需卖出</t>
    <phoneticPr fontId="1" type="noConversion"/>
  </si>
  <si>
    <t>保证T+2日终头寸为正，T日需卖出</t>
    <phoneticPr fontId="1" type="noConversion"/>
  </si>
  <si>
    <t>预确认申赎（万）</t>
    <phoneticPr fontId="1" type="noConversion"/>
  </si>
  <si>
    <t>T+1日交易债券，负的</t>
    <phoneticPr fontId="1" type="noConversion"/>
  </si>
  <si>
    <t>T+1日正回购，还款</t>
    <phoneticPr fontId="1" type="noConversion"/>
  </si>
  <si>
    <t>T日初加资产净值，活期存款</t>
    <phoneticPr fontId="1" type="noConversion"/>
  </si>
  <si>
    <t>T+1日减活期存款、减资产净值</t>
    <phoneticPr fontId="1" type="noConversion"/>
  </si>
  <si>
    <t>T+2日减活期存款、减资产净值</t>
    <phoneticPr fontId="1" type="noConversion"/>
  </si>
  <si>
    <t>保守</t>
    <phoneticPr fontId="1" type="noConversion"/>
  </si>
  <si>
    <t>日终，涉及5%的</t>
  </si>
  <si>
    <t>基金净值</t>
    <phoneticPr fontId="1" type="noConversion"/>
  </si>
  <si>
    <t>活期存款保证</t>
    <phoneticPr fontId="1" type="noConversion"/>
  </si>
  <si>
    <t>至少留活期存款</t>
    <phoneticPr fontId="1" type="noConversion"/>
  </si>
  <si>
    <t>日日终活期存款估计</t>
    <phoneticPr fontId="1" type="noConversion"/>
  </si>
  <si>
    <t>需要卖出(“+”为卖出）</t>
    <phoneticPr fontId="1" type="noConversion"/>
  </si>
  <si>
    <t>T-1日基金估值表数据</t>
    <phoneticPr fontId="1" type="noConversion"/>
  </si>
  <si>
    <t>基金净值</t>
    <phoneticPr fontId="1" type="noConversion"/>
  </si>
  <si>
    <t>T日活期存款预估比例（T-1日净值）</t>
    <phoneticPr fontId="1" type="noConversion"/>
  </si>
  <si>
    <t xml:space="preserve">轧差款 </t>
    <phoneticPr fontId="1" type="noConversion"/>
  </si>
  <si>
    <t>银行存款</t>
  </si>
  <si>
    <t>证券清算款</t>
  </si>
  <si>
    <t>T日赎回款</t>
  </si>
  <si>
    <t>股票红利</t>
  </si>
  <si>
    <t>T日申购款</t>
  </si>
  <si>
    <t>T+1日头寸</t>
  </si>
  <si>
    <t>T+1日活期存款倒算</t>
    <phoneticPr fontId="1" type="noConversion"/>
  </si>
  <si>
    <t>T+1日活期存款正算</t>
    <phoneticPr fontId="1" type="noConversion"/>
  </si>
  <si>
    <t>冻结预估网下申购款</t>
  </si>
  <si>
    <t>T-1日实际存款率</t>
    <phoneticPr fontId="1" type="noConversion"/>
  </si>
  <si>
    <t>T-1日申够vsT+1日赎回轧差</t>
    <phoneticPr fontId="1" type="noConversion"/>
  </si>
  <si>
    <t>保险分级头寸表</t>
  </si>
  <si>
    <t>不调整实际现金占比</t>
    <phoneticPr fontId="1" type="noConversion"/>
  </si>
  <si>
    <t>冻结信批费</t>
  </si>
  <si>
    <t>深100ETF联接头寸表</t>
  </si>
  <si>
    <t>日期：</t>
  </si>
  <si>
    <t>清算款</t>
  </si>
  <si>
    <t>交易间回购交易</t>
  </si>
  <si>
    <t>债券付息</t>
  </si>
  <si>
    <t>冻结保证金、备付金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</si>
</sst>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_ "/>
    <numFmt numFmtId="177" formatCode="#,##0.00_);[Red]\(#,##0.00\)"/>
    <numFmt numFmtId="178" formatCode="0.000%"/>
    <numFmt numFmtId="179" formatCode="0.0%"/>
    <numFmt numFmtId="180" formatCode="#,##0.0_ 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4"/>
      <color rgb="FFFF0000"/>
      <name val="微软雅黑"/>
      <family val="2"/>
      <charset val="134"/>
    </font>
    <font>
      <b/>
      <sz val="16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008000"/>
      </left>
      <right/>
      <top style="thin">
        <color rgb="FF008000"/>
      </top>
      <bottom style="thin">
        <color rgb="FF008000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Border="1" applyAlignment="1">
      <alignment horizontal="right" vertical="center"/>
    </xf>
    <xf numFmtId="176" fontId="2" fillId="0" borderId="0" xfId="0" applyNumberFormat="1" applyFont="1">
      <alignment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0" fontId="2" fillId="4" borderId="0" xfId="0" applyFont="1" applyFill="1">
      <alignment vertical="center"/>
    </xf>
    <xf numFmtId="14" fontId="2" fillId="0" borderId="0" xfId="0" applyNumberFormat="1" applyFont="1" applyAlignment="1">
      <alignment horizontal="right" vertical="center"/>
    </xf>
    <xf numFmtId="4" fontId="2" fillId="0" borderId="0" xfId="0" applyNumberFormat="1" applyFont="1" applyBorder="1">
      <alignment vertical="center"/>
    </xf>
    <xf numFmtId="177" fontId="6" fillId="0" borderId="0" xfId="0" applyNumberFormat="1" applyFont="1">
      <alignment vertical="center"/>
    </xf>
    <xf numFmtId="4" fontId="8" fillId="5" borderId="5" xfId="0" applyNumberFormat="1" applyFont="1" applyFill="1" applyBorder="1" applyAlignment="1">
      <alignment horizontal="right"/>
    </xf>
    <xf numFmtId="0" fontId="2" fillId="4" borderId="0" xfId="0" applyFont="1" applyFill="1" applyBorder="1" applyAlignment="1">
      <alignment vertical="center"/>
    </xf>
    <xf numFmtId="0" fontId="2" fillId="4" borderId="0" xfId="0" applyNumberFormat="1" applyFont="1" applyFill="1" applyBorder="1" applyAlignment="1">
      <alignment vertical="center"/>
    </xf>
    <xf numFmtId="4" fontId="8" fillId="6" borderId="5" xfId="0" applyNumberFormat="1" applyFont="1" applyFill="1" applyBorder="1" applyAlignment="1">
      <alignment horizontal="right"/>
    </xf>
    <xf numFmtId="4" fontId="8" fillId="5" borderId="5" xfId="0" applyNumberFormat="1" applyFont="1" applyFill="1" applyBorder="1" applyAlignment="1">
      <alignment horizontal="left"/>
    </xf>
    <xf numFmtId="10" fontId="8" fillId="5" borderId="5" xfId="1" applyNumberFormat="1" applyFont="1" applyFill="1" applyBorder="1" applyAlignment="1">
      <alignment horizontal="right"/>
    </xf>
    <xf numFmtId="14" fontId="10" fillId="0" borderId="1" xfId="0" applyNumberFormat="1" applyFont="1" applyBorder="1" applyAlignment="1">
      <alignment horizontal="right" vertical="center"/>
    </xf>
    <xf numFmtId="4" fontId="2" fillId="4" borderId="0" xfId="0" applyNumberFormat="1" applyFont="1" applyFill="1" applyAlignment="1">
      <alignment horizontal="right" vertical="center"/>
    </xf>
    <xf numFmtId="4" fontId="8" fillId="5" borderId="5" xfId="0" applyNumberFormat="1" applyFont="1" applyFill="1" applyBorder="1" applyAlignment="1">
      <alignment horizontal="center"/>
    </xf>
    <xf numFmtId="4" fontId="8" fillId="5" borderId="6" xfId="0" applyNumberFormat="1" applyFont="1" applyFill="1" applyBorder="1" applyAlignment="1"/>
    <xf numFmtId="4" fontId="8" fillId="3" borderId="5" xfId="0" applyNumberFormat="1" applyFont="1" applyFill="1" applyBorder="1" applyAlignment="1">
      <alignment horizontal="right"/>
    </xf>
    <xf numFmtId="10" fontId="9" fillId="3" borderId="5" xfId="1" applyNumberFormat="1" applyFont="1" applyFill="1" applyBorder="1" applyAlignment="1">
      <alignment horizontal="right"/>
    </xf>
    <xf numFmtId="4" fontId="8" fillId="3" borderId="5" xfId="0" applyNumberFormat="1" applyFont="1" applyFill="1" applyBorder="1" applyAlignment="1">
      <alignment horizontal="left"/>
    </xf>
    <xf numFmtId="0" fontId="2" fillId="3" borderId="0" xfId="0" applyFont="1" applyFill="1" applyBorder="1">
      <alignment vertical="center"/>
    </xf>
    <xf numFmtId="176" fontId="2" fillId="3" borderId="0" xfId="0" applyNumberFormat="1" applyFont="1" applyFill="1" applyBorder="1">
      <alignment vertical="center"/>
    </xf>
    <xf numFmtId="0" fontId="11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11" fillId="0" borderId="0" xfId="0" applyFont="1" applyFill="1">
      <alignment vertical="center"/>
    </xf>
    <xf numFmtId="176" fontId="2" fillId="3" borderId="0" xfId="0" applyNumberFormat="1" applyFont="1" applyFill="1">
      <alignment vertical="center"/>
    </xf>
    <xf numFmtId="10" fontId="2" fillId="0" borderId="0" xfId="1" applyNumberFormat="1" applyFont="1">
      <alignment vertical="center"/>
    </xf>
    <xf numFmtId="10" fontId="2" fillId="3" borderId="0" xfId="1" applyNumberFormat="1" applyFont="1" applyFill="1">
      <alignment vertical="center"/>
    </xf>
    <xf numFmtId="178" fontId="2" fillId="0" borderId="0" xfId="1" applyNumberFormat="1" applyFont="1">
      <alignment vertical="center"/>
    </xf>
    <xf numFmtId="179" fontId="2" fillId="0" borderId="0" xfId="1" applyNumberFormat="1" applyFont="1">
      <alignment vertical="center"/>
    </xf>
    <xf numFmtId="4" fontId="2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0" fontId="10" fillId="7" borderId="2" xfId="0" applyFont="1" applyFill="1" applyBorder="1" applyAlignment="1">
      <alignment horizontal="right" vertical="center"/>
    </xf>
    <xf numFmtId="14" fontId="10" fillId="7" borderId="1" xfId="0" applyNumberFormat="1" applyFont="1" applyFill="1" applyBorder="1" applyAlignment="1">
      <alignment horizontal="right" vertical="center"/>
    </xf>
    <xf numFmtId="180" fontId="2" fillId="3" borderId="0" xfId="0" applyNumberFormat="1" applyFont="1" applyFill="1" applyBorder="1">
      <alignment vertical="center"/>
    </xf>
    <xf numFmtId="0" fontId="2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  <xf numFmtId="4" fontId="10" fillId="8" borderId="1" xfId="0" applyNumberFormat="1" applyFont="1" applyFill="1" applyBorder="1" applyAlignment="1">
      <alignment horizontal="right" vertical="center"/>
    </xf>
    <xf numFmtId="0" fontId="10" fillId="8" borderId="1" xfId="0" applyFont="1" applyFill="1" applyBorder="1" applyAlignment="1">
      <alignment horizontal="right" vertical="center"/>
    </xf>
    <xf numFmtId="0" fontId="10" fillId="8" borderId="2" xfId="0" applyFont="1" applyFill="1" applyBorder="1" applyAlignment="1">
      <alignment horizontal="left" vertical="center"/>
    </xf>
    <xf numFmtId="4" fontId="8" fillId="8" borderId="5" xfId="0" applyNumberFormat="1" applyFont="1" applyFill="1" applyBorder="1" applyAlignment="1">
      <alignment horizontal="right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td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G14" sqref="G14"/>
    </sheetView>
  </sheetViews>
  <sheetFormatPr defaultRowHeight="16.5" x14ac:dyDescent="0.15"/>
  <cols>
    <col min="1" max="1" width="19.5" style="1" bestFit="1" customWidth="1"/>
    <col min="2" max="2" width="16.125" style="1" bestFit="1" customWidth="1"/>
    <col min="3" max="3" width="36.375" style="1" customWidth="1"/>
    <col min="4" max="5" width="15.5" style="1" customWidth="1"/>
    <col min="6" max="6" width="4.375" style="1" customWidth="1"/>
    <col min="7" max="7" width="33.125" style="1" bestFit="1" customWidth="1"/>
    <col min="8" max="8" width="21.375" style="1" bestFit="1" customWidth="1"/>
    <col min="9" max="9" width="26.125" style="1" customWidth="1"/>
    <col min="10" max="10" width="21.75" style="1" bestFit="1" customWidth="1"/>
    <col min="11" max="11" width="17.25" style="1" bestFit="1" customWidth="1"/>
    <col min="12" max="12" width="16.25" style="1" bestFit="1" customWidth="1"/>
    <col min="13" max="16384" width="9" style="1"/>
  </cols>
  <sheetData>
    <row r="1" spans="1:8" x14ac:dyDescent="0.15">
      <c r="A1" s="1" t="s">
        <v>24</v>
      </c>
      <c r="B1" s="7" t="e">
        <f ca="1">[1]!td(B6)</f>
        <v>#NAME?</v>
      </c>
    </row>
    <row r="2" spans="1:8" x14ac:dyDescent="0.15">
      <c r="A2" s="1" t="s">
        <v>25</v>
      </c>
      <c r="B2" s="7" t="e">
        <f ca="1">[1]!td(B6)+1</f>
        <v>#NAME?</v>
      </c>
    </row>
    <row r="3" spans="1:8" x14ac:dyDescent="0.15">
      <c r="A3" s="1" t="s">
        <v>26</v>
      </c>
      <c r="B3" s="7" t="e">
        <f ca="1">[1]!td(B6)+2</f>
        <v>#NAME?</v>
      </c>
    </row>
    <row r="4" spans="1:8" ht="17.25" thickBot="1" x14ac:dyDescent="0.2"/>
    <row r="5" spans="1:8" ht="17.25" thickBot="1" x14ac:dyDescent="0.2">
      <c r="A5" s="40" t="s">
        <v>58</v>
      </c>
      <c r="B5" s="41"/>
      <c r="C5" s="1" t="s">
        <v>13</v>
      </c>
      <c r="D5" s="11">
        <f>DAY(B6)</f>
        <v>12</v>
      </c>
      <c r="E5" s="11" t="s">
        <v>37</v>
      </c>
      <c r="G5" s="6" t="s">
        <v>28</v>
      </c>
    </row>
    <row r="6" spans="1:8" ht="17.25" thickBot="1" x14ac:dyDescent="0.2">
      <c r="A6" s="2" t="s">
        <v>9</v>
      </c>
      <c r="B6" s="16">
        <v>43536</v>
      </c>
      <c r="D6" s="42" t="s">
        <v>12</v>
      </c>
      <c r="E6" s="42"/>
    </row>
    <row r="7" spans="1:8" ht="17.25" thickBot="1" x14ac:dyDescent="0.2">
      <c r="A7" s="45" t="s">
        <v>47</v>
      </c>
      <c r="B7" s="46">
        <v>95049944.400000006</v>
      </c>
      <c r="C7" s="1" t="s">
        <v>17</v>
      </c>
      <c r="D7" s="23" t="s">
        <v>11</v>
      </c>
      <c r="E7" s="23" t="s">
        <v>10</v>
      </c>
      <c r="G7" s="6" t="s">
        <v>27</v>
      </c>
    </row>
    <row r="8" spans="1:8" ht="17.25" thickBot="1" x14ac:dyDescent="0.2">
      <c r="A8" s="45" t="s">
        <v>48</v>
      </c>
      <c r="B8" s="46">
        <v>-34646412.689999998</v>
      </c>
      <c r="C8" s="1" t="s">
        <v>14</v>
      </c>
      <c r="D8" s="37">
        <f>B23-B13-B12-B17-B18</f>
        <v>64386432.799999997</v>
      </c>
      <c r="E8" s="24">
        <f>B7+B8+B11+B14+B15+B20+B21+B22</f>
        <v>64386432.800000012</v>
      </c>
      <c r="G8" s="9">
        <f>-B12</f>
        <v>15450117.18</v>
      </c>
    </row>
    <row r="9" spans="1:8" ht="17.25" thickBot="1" x14ac:dyDescent="0.2">
      <c r="A9" s="45" t="s">
        <v>8</v>
      </c>
      <c r="B9" s="47">
        <v>0</v>
      </c>
      <c r="C9" s="1" t="s">
        <v>31</v>
      </c>
      <c r="D9" s="5"/>
      <c r="E9" s="4"/>
      <c r="G9" s="6" t="s">
        <v>29</v>
      </c>
    </row>
    <row r="10" spans="1:8" ht="17.25" thickBot="1" x14ac:dyDescent="0.2">
      <c r="A10" s="45" t="s">
        <v>7</v>
      </c>
      <c r="B10" s="47">
        <v>0</v>
      </c>
      <c r="C10" s="1" t="s">
        <v>32</v>
      </c>
      <c r="D10" s="12" t="e">
        <f ca="1">DAY(B2)</f>
        <v>#NAME?</v>
      </c>
      <c r="E10" s="11" t="s">
        <v>37</v>
      </c>
      <c r="G10" s="9">
        <f>-B13</f>
        <v>6326100</v>
      </c>
      <c r="H10" s="1" t="s">
        <v>36</v>
      </c>
    </row>
    <row r="11" spans="1:8" ht="17.25" thickBot="1" x14ac:dyDescent="0.2">
      <c r="A11" s="45" t="s">
        <v>49</v>
      </c>
      <c r="B11" s="46">
        <v>-6581415.79</v>
      </c>
      <c r="C11" s="1" t="s">
        <v>18</v>
      </c>
      <c r="D11" s="4" t="s">
        <v>53</v>
      </c>
      <c r="E11" s="4" t="s">
        <v>54</v>
      </c>
    </row>
    <row r="12" spans="1:8" ht="17.25" thickBot="1" x14ac:dyDescent="0.2">
      <c r="A12" s="45" t="s">
        <v>6</v>
      </c>
      <c r="B12" s="46">
        <v>-15450117.18</v>
      </c>
      <c r="C12" s="1" t="s">
        <v>15</v>
      </c>
      <c r="D12" s="5">
        <f>B23-B13-B16-B17-B18</f>
        <v>48936315.619999997</v>
      </c>
      <c r="E12" s="8">
        <f>B7+B8+B11+B12+B14+B15+B20+B21+B22</f>
        <v>48936315.620000012</v>
      </c>
      <c r="G12" s="19" t="s">
        <v>43</v>
      </c>
    </row>
    <row r="13" spans="1:8" ht="17.25" thickBot="1" x14ac:dyDescent="0.2">
      <c r="A13" s="45" t="s">
        <v>5</v>
      </c>
      <c r="B13" s="46">
        <v>-6326100</v>
      </c>
      <c r="C13" s="1" t="s">
        <v>16</v>
      </c>
      <c r="D13" s="4"/>
      <c r="E13" s="4"/>
      <c r="G13" s="18" t="s">
        <v>38</v>
      </c>
    </row>
    <row r="14" spans="1:8" ht="17.25" thickBot="1" x14ac:dyDescent="0.2">
      <c r="A14" s="45" t="s">
        <v>50</v>
      </c>
      <c r="B14" s="46">
        <v>0</v>
      </c>
      <c r="C14" s="1" t="s">
        <v>14</v>
      </c>
      <c r="D14" s="38" t="s">
        <v>20</v>
      </c>
      <c r="E14" s="38"/>
      <c r="G14" s="49">
        <v>568685607.62</v>
      </c>
    </row>
    <row r="15" spans="1:8" ht="17.25" thickBot="1" x14ac:dyDescent="0.2">
      <c r="A15" s="45" t="s">
        <v>4</v>
      </c>
      <c r="B15" s="46">
        <v>0</v>
      </c>
      <c r="D15" s="4" t="s">
        <v>11</v>
      </c>
      <c r="E15" s="4" t="s">
        <v>10</v>
      </c>
      <c r="G15" s="10">
        <v>75536252.609999999</v>
      </c>
    </row>
    <row r="16" spans="1:8" ht="17.25" thickBot="1" x14ac:dyDescent="0.2">
      <c r="A16" s="45" t="s">
        <v>60</v>
      </c>
      <c r="B16" s="46">
        <v>0</v>
      </c>
      <c r="D16" s="3">
        <f>B23-B22-B21-B20</f>
        <v>32045898.739999995</v>
      </c>
      <c r="E16" s="3">
        <f>B7+B8+B11+B12+B13+B14+B15+B16+B17+B18+B20+B21</f>
        <v>32045898.74000001</v>
      </c>
      <c r="G16" s="13">
        <v>107425890.81999999</v>
      </c>
    </row>
    <row r="17" spans="1:11" ht="17.25" thickBot="1" x14ac:dyDescent="0.2">
      <c r="A17" s="45" t="s">
        <v>3</v>
      </c>
      <c r="B17" s="46">
        <v>0</v>
      </c>
      <c r="C17" s="1" t="s">
        <v>34</v>
      </c>
      <c r="G17" s="10">
        <v>385723464.19</v>
      </c>
    </row>
    <row r="18" spans="1:11" ht="17.25" thickBot="1" x14ac:dyDescent="0.2">
      <c r="A18" s="45" t="s">
        <v>55</v>
      </c>
      <c r="B18" s="46">
        <v>0</v>
      </c>
      <c r="C18" s="1" t="s">
        <v>35</v>
      </c>
      <c r="D18" s="39" t="s">
        <v>21</v>
      </c>
      <c r="E18" s="39"/>
      <c r="G18" s="1">
        <v>1.224</v>
      </c>
      <c r="I18" s="1" t="s">
        <v>56</v>
      </c>
    </row>
    <row r="19" spans="1:11" ht="17.25" thickBot="1" x14ac:dyDescent="0.2">
      <c r="A19" s="45" t="s">
        <v>2</v>
      </c>
      <c r="B19" s="46">
        <v>32045898.739999998</v>
      </c>
      <c r="D19" s="4" t="s">
        <v>11</v>
      </c>
      <c r="E19" s="4" t="s">
        <v>10</v>
      </c>
      <c r="I19" s="30">
        <f>B7/G14</f>
        <v>0.16713970448064003</v>
      </c>
    </row>
    <row r="20" spans="1:11" ht="17.25" thickBot="1" x14ac:dyDescent="0.2">
      <c r="A20" s="45" t="s">
        <v>1</v>
      </c>
      <c r="B20" s="46">
        <v>0</v>
      </c>
      <c r="C20" s="1" t="s">
        <v>19</v>
      </c>
      <c r="D20" s="5">
        <f>B19+B22</f>
        <v>42610215.619999997</v>
      </c>
      <c r="E20" s="8">
        <f>B7+B8+B11+B12+B13+B14+B17+B18+B20+B21+B22</f>
        <v>42610215.620000012</v>
      </c>
      <c r="G20" s="14" t="s">
        <v>45</v>
      </c>
      <c r="I20" s="1" t="s">
        <v>57</v>
      </c>
    </row>
    <row r="21" spans="1:11" ht="21.75" thickBot="1" x14ac:dyDescent="0.2">
      <c r="A21" s="45" t="s">
        <v>0</v>
      </c>
      <c r="B21" s="47">
        <v>0</v>
      </c>
      <c r="C21" s="1" t="s">
        <v>33</v>
      </c>
      <c r="D21" s="4"/>
      <c r="E21" s="4"/>
      <c r="G21" s="21">
        <f>E8/G22</f>
        <v>0.11321973325377967</v>
      </c>
      <c r="H21" s="27" t="str">
        <f>IF(OR(G21&lt;0.0601,G21&gt;0.1401),"预警","")</f>
        <v/>
      </c>
      <c r="I21" s="29">
        <f>(B26*10000+B12)/E8</f>
        <v>-0.16846277559268663</v>
      </c>
      <c r="J21" s="27" t="str">
        <f>IF(I21&lt;-0.1,"申赎轧差偏离","")</f>
        <v>申赎轧差偏离</v>
      </c>
    </row>
    <row r="22" spans="1:11" ht="17.25" thickBot="1" x14ac:dyDescent="0.2">
      <c r="A22" s="45" t="s">
        <v>51</v>
      </c>
      <c r="B22" s="46">
        <v>10564316.880000001</v>
      </c>
      <c r="C22" s="1" t="s">
        <v>14</v>
      </c>
      <c r="G22" s="14">
        <f>G14</f>
        <v>568685607.62</v>
      </c>
      <c r="I22" s="3"/>
    </row>
    <row r="23" spans="1:11" ht="17.25" thickBot="1" x14ac:dyDescent="0.2">
      <c r="A23" s="45" t="s">
        <v>52</v>
      </c>
      <c r="B23" s="46">
        <v>42610215.619999997</v>
      </c>
      <c r="C23" s="3"/>
      <c r="E23" s="3"/>
    </row>
    <row r="24" spans="1:11" x14ac:dyDescent="0.15">
      <c r="B24" s="33"/>
      <c r="E24" s="31"/>
      <c r="G24" s="14" t="s">
        <v>44</v>
      </c>
      <c r="H24" s="13">
        <f>G14</f>
        <v>568685607.62</v>
      </c>
      <c r="I24" s="3"/>
    </row>
    <row r="25" spans="1:11" x14ac:dyDescent="0.15">
      <c r="A25" s="34" t="s">
        <v>30</v>
      </c>
      <c r="B25" s="34"/>
      <c r="E25" s="3"/>
      <c r="G25" s="14" t="s">
        <v>39</v>
      </c>
      <c r="H25" s="15">
        <v>6.0100000000000001E-2</v>
      </c>
      <c r="I25" s="32"/>
    </row>
    <row r="26" spans="1:11" x14ac:dyDescent="0.15">
      <c r="A26" s="6" t="s">
        <v>22</v>
      </c>
      <c r="B26" s="17">
        <v>460.34</v>
      </c>
      <c r="E26" s="29"/>
      <c r="G26" s="14" t="s">
        <v>40</v>
      </c>
      <c r="H26" s="10">
        <f>H24*H25</f>
        <v>34178005.017962001</v>
      </c>
      <c r="I26" s="3"/>
      <c r="J26" s="1" t="s">
        <v>59</v>
      </c>
    </row>
    <row r="27" spans="1:11" ht="21" x14ac:dyDescent="0.15">
      <c r="A27" s="6" t="s">
        <v>23</v>
      </c>
      <c r="B27" s="17">
        <v>-632.61</v>
      </c>
      <c r="E27" s="3"/>
      <c r="F27" s="1" t="e">
        <f ca="1">DAY(B2)</f>
        <v>#NAME?</v>
      </c>
      <c r="G27" s="14" t="s">
        <v>41</v>
      </c>
      <c r="H27" s="10">
        <f>E12</f>
        <v>48936315.620000012</v>
      </c>
      <c r="I27" s="3"/>
      <c r="J27" s="29">
        <f>H27/G14</f>
        <v>8.6051616155370728E-2</v>
      </c>
      <c r="K27" s="27" t="str">
        <f>IF(OR(J27&lt;0.0601,J27&gt;0.1401),"预警","")</f>
        <v/>
      </c>
    </row>
    <row r="28" spans="1:11" ht="21" x14ac:dyDescent="0.15">
      <c r="A28" s="26" t="s">
        <v>46</v>
      </c>
      <c r="B28" s="28">
        <f>B26+B27</f>
        <v>-172.27000000000004</v>
      </c>
      <c r="C28" s="25" t="str">
        <f>IF(B28&gt;0,"净申购","净赎回")</f>
        <v>净赎回</v>
      </c>
      <c r="E28" s="3"/>
      <c r="G28" s="22" t="s">
        <v>42</v>
      </c>
      <c r="H28" s="20">
        <f>H26-H27</f>
        <v>-14758310.602038011</v>
      </c>
      <c r="I28" s="25" t="str">
        <f>IF(H28&gt;0,"需要卖出","可以买入")</f>
        <v>可以买入</v>
      </c>
    </row>
    <row r="29" spans="1:11" x14ac:dyDescent="0.15">
      <c r="E29" s="29"/>
      <c r="H29" s="3"/>
    </row>
    <row r="30" spans="1:11" x14ac:dyDescent="0.15">
      <c r="H30" s="29"/>
    </row>
    <row r="32" spans="1:11" x14ac:dyDescent="0.15">
      <c r="B32" s="3"/>
    </row>
  </sheetData>
  <mergeCells count="4">
    <mergeCell ref="D14:E14"/>
    <mergeCell ref="D18:E18"/>
    <mergeCell ref="A5:B5"/>
    <mergeCell ref="D6:E6"/>
  </mergeCells>
  <phoneticPr fontId="1" type="noConversion"/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H27" sqref="H27"/>
    </sheetView>
  </sheetViews>
  <sheetFormatPr defaultRowHeight="16.5" x14ac:dyDescent="0.15"/>
  <cols>
    <col min="1" max="1" width="19.5" style="1" bestFit="1" customWidth="1"/>
    <col min="2" max="2" width="16.125" style="1" bestFit="1" customWidth="1"/>
    <col min="3" max="3" width="36.375" style="1" customWidth="1"/>
    <col min="4" max="5" width="15.5" style="1" customWidth="1"/>
    <col min="6" max="6" width="4.375" style="1" customWidth="1"/>
    <col min="7" max="7" width="33.125" style="1" bestFit="1" customWidth="1"/>
    <col min="8" max="8" width="20.125" style="1" bestFit="1" customWidth="1"/>
    <col min="9" max="9" width="26.125" style="1" customWidth="1"/>
    <col min="10" max="10" width="21.75" style="1" bestFit="1" customWidth="1"/>
    <col min="11" max="11" width="17.25" style="1" bestFit="1" customWidth="1"/>
    <col min="12" max="12" width="16.25" style="1" bestFit="1" customWidth="1"/>
    <col min="13" max="16384" width="9" style="1"/>
  </cols>
  <sheetData>
    <row r="1" spans="1:8" x14ac:dyDescent="0.15">
      <c r="A1" s="1" t="s">
        <v>24</v>
      </c>
      <c r="B1" s="7" t="e">
        <f ca="1">[1]!td(B6)</f>
        <v>#NAME?</v>
      </c>
    </row>
    <row r="2" spans="1:8" x14ac:dyDescent="0.15">
      <c r="A2" s="1" t="s">
        <v>25</v>
      </c>
      <c r="B2" s="7" t="e">
        <f ca="1">[1]!td(B6)+1</f>
        <v>#NAME?</v>
      </c>
    </row>
    <row r="3" spans="1:8" x14ac:dyDescent="0.15">
      <c r="A3" s="1" t="s">
        <v>26</v>
      </c>
      <c r="B3" s="7" t="e">
        <f ca="1">[1]!td(B6)+2</f>
        <v>#NAME?</v>
      </c>
    </row>
    <row r="4" spans="1:8" ht="17.25" thickBot="1" x14ac:dyDescent="0.2"/>
    <row r="5" spans="1:8" ht="21" thickBot="1" x14ac:dyDescent="0.2">
      <c r="A5" s="43" t="s">
        <v>61</v>
      </c>
      <c r="B5" s="44"/>
      <c r="C5" s="1" t="s">
        <v>13</v>
      </c>
      <c r="D5" s="11">
        <f>DAY(B6)</f>
        <v>12</v>
      </c>
      <c r="E5" s="11" t="s">
        <v>37</v>
      </c>
      <c r="G5" s="6" t="s">
        <v>28</v>
      </c>
    </row>
    <row r="6" spans="1:8" ht="17.25" thickBot="1" x14ac:dyDescent="0.2">
      <c r="A6" s="35" t="s">
        <v>62</v>
      </c>
      <c r="B6" s="36">
        <v>43536</v>
      </c>
      <c r="D6" s="42" t="s">
        <v>12</v>
      </c>
      <c r="E6" s="42"/>
    </row>
    <row r="7" spans="1:8" ht="17.25" thickBot="1" x14ac:dyDescent="0.2">
      <c r="A7" s="45" t="s">
        <v>47</v>
      </c>
      <c r="B7" s="46">
        <v>3168681.57</v>
      </c>
      <c r="C7" s="1" t="s">
        <v>17</v>
      </c>
      <c r="D7" s="23" t="s">
        <v>11</v>
      </c>
      <c r="E7" s="23" t="s">
        <v>10</v>
      </c>
      <c r="G7" s="6" t="s">
        <v>27</v>
      </c>
    </row>
    <row r="8" spans="1:8" ht="17.25" thickBot="1" x14ac:dyDescent="0.2">
      <c r="A8" s="45" t="s">
        <v>63</v>
      </c>
      <c r="B8" s="46">
        <v>-1290298.17</v>
      </c>
      <c r="C8" s="1" t="s">
        <v>14</v>
      </c>
      <c r="D8" s="24">
        <f>B21-B12</f>
        <v>1482057.8</v>
      </c>
      <c r="E8" s="24">
        <f>B7+B8+B11+B20</f>
        <v>1482057.7999999998</v>
      </c>
      <c r="G8" s="9">
        <f>-B12</f>
        <v>1513704.24</v>
      </c>
    </row>
    <row r="9" spans="1:8" ht="17.25" thickBot="1" x14ac:dyDescent="0.2">
      <c r="A9" s="45" t="s">
        <v>7</v>
      </c>
      <c r="B9" s="47">
        <v>0</v>
      </c>
      <c r="C9" s="1" t="s">
        <v>31</v>
      </c>
      <c r="D9" s="5"/>
      <c r="E9" s="4"/>
      <c r="G9" s="6" t="s">
        <v>29</v>
      </c>
    </row>
    <row r="10" spans="1:8" ht="17.25" thickBot="1" x14ac:dyDescent="0.2">
      <c r="A10" s="45" t="s">
        <v>64</v>
      </c>
      <c r="B10" s="47">
        <v>0</v>
      </c>
      <c r="C10" s="1" t="s">
        <v>32</v>
      </c>
      <c r="D10" s="12" t="e">
        <f ca="1">DAY(B2)</f>
        <v>#NAME?</v>
      </c>
      <c r="E10" s="11" t="s">
        <v>37</v>
      </c>
      <c r="G10" s="9"/>
      <c r="H10" s="1" t="s">
        <v>36</v>
      </c>
    </row>
    <row r="11" spans="1:8" ht="17.25" thickBot="1" x14ac:dyDescent="0.2">
      <c r="A11" s="45" t="s">
        <v>49</v>
      </c>
      <c r="B11" s="46">
        <v>-682644.01</v>
      </c>
      <c r="C11" s="1" t="s">
        <v>18</v>
      </c>
      <c r="D11" s="4" t="s">
        <v>53</v>
      </c>
      <c r="E11" s="4" t="s">
        <v>54</v>
      </c>
    </row>
    <row r="12" spans="1:8" ht="17.25" thickBot="1" x14ac:dyDescent="0.2">
      <c r="A12" s="45" t="s">
        <v>6</v>
      </c>
      <c r="B12" s="46">
        <v>-1513704.24</v>
      </c>
      <c r="C12" s="1" t="s">
        <v>15</v>
      </c>
      <c r="D12" s="5">
        <f>B21-B15</f>
        <v>-31646.44</v>
      </c>
      <c r="E12" s="8">
        <f>B7+B8+B11+B12+B13+B14+B17+B18+B19+B20</f>
        <v>-31646.440000000119</v>
      </c>
      <c r="G12" s="19" t="s">
        <v>43</v>
      </c>
    </row>
    <row r="13" spans="1:8" ht="17.25" thickBot="1" x14ac:dyDescent="0.2">
      <c r="A13" s="48" t="s">
        <v>65</v>
      </c>
      <c r="B13" s="47">
        <v>0</v>
      </c>
      <c r="C13" s="1" t="s">
        <v>14</v>
      </c>
      <c r="D13" s="4"/>
      <c r="E13" s="4"/>
      <c r="G13" s="18" t="s">
        <v>38</v>
      </c>
    </row>
    <row r="14" spans="1:8" ht="17.25" thickBot="1" x14ac:dyDescent="0.2">
      <c r="A14" s="48" t="s">
        <v>66</v>
      </c>
      <c r="B14" s="47">
        <v>0</v>
      </c>
      <c r="D14" s="38" t="s">
        <v>20</v>
      </c>
      <c r="E14" s="38"/>
      <c r="G14" s="49">
        <v>28807973.93</v>
      </c>
    </row>
    <row r="15" spans="1:8" ht="17.25" thickBot="1" x14ac:dyDescent="0.2">
      <c r="A15" s="48" t="s">
        <v>3</v>
      </c>
      <c r="B15" s="47">
        <v>0</v>
      </c>
      <c r="D15" s="4" t="s">
        <v>11</v>
      </c>
      <c r="E15" s="4" t="s">
        <v>10</v>
      </c>
      <c r="G15" s="10">
        <v>10051551.24</v>
      </c>
    </row>
    <row r="16" spans="1:8" ht="17.25" thickBot="1" x14ac:dyDescent="0.2">
      <c r="A16" s="48" t="s">
        <v>2</v>
      </c>
      <c r="B16" s="46">
        <v>-317964.84999999998</v>
      </c>
      <c r="C16" s="1" t="s">
        <v>34</v>
      </c>
      <c r="D16" s="3">
        <f>B21-B20-B19-B18-B17</f>
        <v>-317964.84999999998</v>
      </c>
      <c r="E16" s="3">
        <f>B7+B8+B11+B12+B13+B14+B15+B17+B18+B19</f>
        <v>-317964.85000000009</v>
      </c>
      <c r="G16" s="13">
        <v>18756422.690000001</v>
      </c>
    </row>
    <row r="17" spans="1:11" ht="17.25" thickBot="1" x14ac:dyDescent="0.2">
      <c r="A17" s="48" t="s">
        <v>1</v>
      </c>
      <c r="B17" s="47">
        <v>0</v>
      </c>
      <c r="C17" s="1" t="s">
        <v>35</v>
      </c>
      <c r="G17" s="10">
        <v>1.0462</v>
      </c>
    </row>
    <row r="18" spans="1:11" ht="17.25" thickBot="1" x14ac:dyDescent="0.2">
      <c r="A18" s="48" t="s">
        <v>8</v>
      </c>
      <c r="B18" s="47">
        <v>0</v>
      </c>
      <c r="D18" s="39" t="s">
        <v>21</v>
      </c>
      <c r="E18" s="39"/>
      <c r="I18" s="1" t="s">
        <v>56</v>
      </c>
    </row>
    <row r="19" spans="1:11" ht="17.25" thickBot="1" x14ac:dyDescent="0.2">
      <c r="A19" s="48" t="s">
        <v>0</v>
      </c>
      <c r="B19" s="47">
        <v>0</v>
      </c>
      <c r="C19" s="1" t="s">
        <v>19</v>
      </c>
      <c r="D19" s="4" t="s">
        <v>11</v>
      </c>
      <c r="E19" s="4" t="s">
        <v>10</v>
      </c>
      <c r="I19" s="30">
        <f>B7/G14</f>
        <v>0.10999321152190449</v>
      </c>
    </row>
    <row r="20" spans="1:11" ht="17.25" thickBot="1" x14ac:dyDescent="0.2">
      <c r="A20" s="48" t="s">
        <v>51</v>
      </c>
      <c r="B20" s="46">
        <v>286318.40999999997</v>
      </c>
      <c r="C20" s="1" t="s">
        <v>33</v>
      </c>
      <c r="D20" s="5">
        <f>B16+B20</f>
        <v>-31646.440000000002</v>
      </c>
      <c r="E20" s="8">
        <f>B7+B8+B11+B12+B17+B18+B19+B20</f>
        <v>-31646.440000000119</v>
      </c>
      <c r="G20" s="14" t="s">
        <v>45</v>
      </c>
      <c r="I20" s="1" t="s">
        <v>57</v>
      </c>
    </row>
    <row r="21" spans="1:11" ht="21.75" thickBot="1" x14ac:dyDescent="0.2">
      <c r="A21" s="48" t="s">
        <v>52</v>
      </c>
      <c r="B21" s="46">
        <v>-31646.44</v>
      </c>
      <c r="C21" s="1" t="s">
        <v>14</v>
      </c>
      <c r="D21" s="4"/>
      <c r="E21" s="4"/>
      <c r="G21" s="21">
        <f>E8/G22</f>
        <v>5.1446096264917016E-2</v>
      </c>
      <c r="H21" s="27" t="str">
        <f>IF(OR(G21&lt;0.0601,G21&gt;0.0901),"预警","")</f>
        <v>预警</v>
      </c>
      <c r="I21" s="29">
        <f>(B23*10000+B12)/E8</f>
        <v>-0.4821028167727332</v>
      </c>
      <c r="J21" s="1" t="str">
        <f>IF(I21&lt;0,"净赎回","净申购”")</f>
        <v>净赎回</v>
      </c>
    </row>
    <row r="22" spans="1:11" x14ac:dyDescent="0.15">
      <c r="A22" s="34" t="s">
        <v>30</v>
      </c>
      <c r="B22" s="34"/>
      <c r="C22" s="3"/>
      <c r="G22" s="14">
        <f>G14</f>
        <v>28807973.93</v>
      </c>
      <c r="I22" s="3"/>
    </row>
    <row r="23" spans="1:11" x14ac:dyDescent="0.15">
      <c r="A23" s="6" t="s">
        <v>22</v>
      </c>
      <c r="B23" s="17">
        <v>79.92</v>
      </c>
      <c r="E23" s="3"/>
    </row>
    <row r="24" spans="1:11" x14ac:dyDescent="0.15">
      <c r="A24" s="6" t="s">
        <v>23</v>
      </c>
      <c r="B24" s="17">
        <v>-40.85</v>
      </c>
      <c r="E24" s="31"/>
      <c r="G24" s="14" t="s">
        <v>38</v>
      </c>
      <c r="H24" s="13">
        <f>G14</f>
        <v>28807973.93</v>
      </c>
      <c r="I24" s="3"/>
    </row>
    <row r="25" spans="1:11" ht="21" x14ac:dyDescent="0.15">
      <c r="A25" s="26" t="s">
        <v>46</v>
      </c>
      <c r="B25" s="28">
        <f>B23+B24</f>
        <v>39.07</v>
      </c>
      <c r="C25" s="25" t="str">
        <f>IF(B25&gt;0,"净申购","净赎回")</f>
        <v>净申购</v>
      </c>
      <c r="E25" s="3"/>
      <c r="G25" s="14" t="s">
        <v>39</v>
      </c>
      <c r="H25" s="15">
        <v>6.0100000000000001E-2</v>
      </c>
      <c r="I25" s="32"/>
    </row>
    <row r="26" spans="1:11" x14ac:dyDescent="0.15">
      <c r="E26" s="29"/>
      <c r="G26" s="14" t="s">
        <v>40</v>
      </c>
      <c r="H26" s="10">
        <f>H24*H25</f>
        <v>1731359.2331930001</v>
      </c>
      <c r="I26" s="3"/>
      <c r="J26" s="1" t="s">
        <v>59</v>
      </c>
    </row>
    <row r="27" spans="1:11" ht="21" x14ac:dyDescent="0.15">
      <c r="E27" s="3"/>
      <c r="F27" s="1" t="e">
        <f ca="1">DAY(B2)</f>
        <v>#NAME?</v>
      </c>
      <c r="G27" s="14" t="s">
        <v>41</v>
      </c>
      <c r="H27" s="10">
        <f>E12</f>
        <v>-31646.440000000119</v>
      </c>
      <c r="I27" s="3"/>
      <c r="J27" s="29">
        <f>H27/G14</f>
        <v>-1.0985305692409074E-3</v>
      </c>
      <c r="K27" s="27" t="str">
        <f>IF(OR(J27&lt;0.0601,J27&gt;0.0901),"预警","")</f>
        <v>预警</v>
      </c>
    </row>
    <row r="28" spans="1:11" ht="21" x14ac:dyDescent="0.15">
      <c r="E28" s="3"/>
      <c r="G28" s="22" t="s">
        <v>42</v>
      </c>
      <c r="H28" s="20">
        <f>H26-H27</f>
        <v>1763005.6731930003</v>
      </c>
      <c r="I28" s="25" t="str">
        <f>IF(H28&gt;0,"需要卖出","可以买入")</f>
        <v>需要卖出</v>
      </c>
    </row>
    <row r="29" spans="1:11" x14ac:dyDescent="0.15">
      <c r="B29" s="3"/>
      <c r="E29" s="29"/>
      <c r="H29" s="3"/>
    </row>
    <row r="30" spans="1:11" x14ac:dyDescent="0.15">
      <c r="H30" s="29"/>
    </row>
  </sheetData>
  <mergeCells count="4">
    <mergeCell ref="A5:B5"/>
    <mergeCell ref="D6:E6"/>
    <mergeCell ref="D14:E14"/>
    <mergeCell ref="D18:E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保险分级</vt:lpstr>
      <vt:lpstr>100联接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吴昊</dc:creator>
  <cp:lastModifiedBy>黄俊逸</cp:lastModifiedBy>
  <cp:lastPrinted>2018-07-24T07:11:33Z</cp:lastPrinted>
  <dcterms:created xsi:type="dcterms:W3CDTF">2018-07-24T03:14:08Z</dcterms:created>
  <dcterms:modified xsi:type="dcterms:W3CDTF">2019-03-22T07:27:27Z</dcterms:modified>
</cp:coreProperties>
</file>