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kout\OneDrive\Υπολογιστής\"/>
    </mc:Choice>
  </mc:AlternateContent>
  <xr:revisionPtr revIDLastSave="0" documentId="13_ncr:1_{7EBEDFF6-5CA5-49FD-A3C3-F94E5DFE86C6}" xr6:coauthVersionLast="47" xr6:coauthVersionMax="47" xr10:uidLastSave="{00000000-0000-0000-0000-000000000000}"/>
  <bookViews>
    <workbookView xWindow="32811" yWindow="-103" windowWidth="33120" windowHeight="180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3" i="2"/>
  <c r="C64" i="2"/>
  <c r="C65" i="2"/>
  <c r="C66" i="2"/>
  <c r="C67" i="2"/>
  <c r="C68" i="2"/>
  <c r="C69" i="2"/>
  <c r="C70" i="2"/>
  <c r="C7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AE62" i="2"/>
  <c r="AF62" i="2"/>
  <c r="AG62" i="2"/>
  <c r="AH62" i="2"/>
  <c r="AI62" i="2"/>
  <c r="AE63" i="2"/>
  <c r="AF63" i="2"/>
  <c r="AG63" i="2"/>
  <c r="AH63" i="2"/>
  <c r="AI63" i="2"/>
  <c r="AF64" i="2"/>
  <c r="AG64" i="2"/>
  <c r="AH64" i="2"/>
  <c r="AI64" i="2"/>
  <c r="AE65" i="2"/>
  <c r="AF65" i="2"/>
  <c r="AG65" i="2"/>
  <c r="AH65" i="2"/>
  <c r="AI65" i="2"/>
  <c r="AF66" i="2"/>
  <c r="AG66" i="2"/>
  <c r="AH66" i="2"/>
  <c r="AI66" i="2"/>
  <c r="AE67" i="2"/>
  <c r="AF67" i="2"/>
  <c r="AG67" i="2"/>
  <c r="AH67" i="2"/>
  <c r="AI67" i="2"/>
  <c r="AE68" i="2"/>
  <c r="AF68" i="2"/>
  <c r="AG68" i="2"/>
  <c r="AH68" i="2"/>
  <c r="AI68" i="2"/>
  <c r="AE69" i="2"/>
  <c r="AF69" i="2"/>
  <c r="AG69" i="2"/>
  <c r="AH69" i="2"/>
  <c r="AI69" i="2"/>
  <c r="AE70" i="2"/>
  <c r="AF70" i="2"/>
  <c r="AG70" i="2"/>
  <c r="AH70" i="2"/>
  <c r="AI70" i="2"/>
  <c r="AE71" i="2"/>
  <c r="AF71" i="2"/>
  <c r="AG71" i="2"/>
  <c r="AH71" i="2"/>
  <c r="AI71" i="2"/>
  <c r="AD71" i="2"/>
  <c r="AC71" i="2" s="1"/>
  <c r="AA71" i="2"/>
  <c r="W71" i="2"/>
  <c r="V71" i="2"/>
  <c r="R71" i="2"/>
  <c r="H71" i="2"/>
  <c r="F71" i="2"/>
  <c r="AD70" i="2"/>
  <c r="AC70" i="2"/>
  <c r="AA70" i="2"/>
  <c r="W70" i="2"/>
  <c r="V70" i="2"/>
  <c r="R70" i="2"/>
  <c r="H70" i="2"/>
  <c r="F70" i="2"/>
  <c r="AD69" i="2"/>
  <c r="AC69" i="2"/>
  <c r="AA69" i="2"/>
  <c r="W69" i="2"/>
  <c r="V69" i="2"/>
  <c r="R69" i="2"/>
  <c r="H69" i="2"/>
  <c r="F69" i="2"/>
  <c r="AC68" i="2"/>
  <c r="AA68" i="2"/>
  <c r="W68" i="2"/>
  <c r="V68" i="2"/>
  <c r="R68" i="2"/>
  <c r="H68" i="2"/>
  <c r="F68" i="2"/>
  <c r="AC67" i="2"/>
  <c r="AA67" i="2"/>
  <c r="W67" i="2"/>
  <c r="V67" i="2"/>
  <c r="R67" i="2"/>
  <c r="H67" i="2"/>
  <c r="F67" i="2"/>
  <c r="AC66" i="2"/>
  <c r="AA66" i="2"/>
  <c r="W66" i="2"/>
  <c r="V66" i="2"/>
  <c r="R66" i="2"/>
  <c r="H66" i="2"/>
  <c r="F66" i="2"/>
  <c r="AE66" i="2" s="1"/>
  <c r="AC65" i="2"/>
  <c r="AA65" i="2"/>
  <c r="W65" i="2"/>
  <c r="V65" i="2" s="1"/>
  <c r="R65" i="2"/>
  <c r="H65" i="2"/>
  <c r="F65" i="2"/>
  <c r="AD64" i="2"/>
  <c r="AC64" i="2" s="1"/>
  <c r="AB64" i="2"/>
  <c r="AA64" i="2"/>
  <c r="W64" i="2"/>
  <c r="V64" i="2"/>
  <c r="S64" i="2"/>
  <c r="R64" i="2"/>
  <c r="H64" i="2"/>
  <c r="F64" i="2"/>
  <c r="AE64" i="2" s="1"/>
  <c r="AD63" i="2"/>
  <c r="AC63" i="2"/>
  <c r="AA63" i="2"/>
  <c r="X63" i="2"/>
  <c r="V63" i="2" s="1"/>
  <c r="W63" i="2"/>
  <c r="S63" i="2"/>
  <c r="R63" i="2"/>
  <c r="H63" i="2"/>
  <c r="F63" i="2"/>
  <c r="AD62" i="2"/>
  <c r="AC62" i="2"/>
  <c r="AA62" i="2"/>
  <c r="X62" i="2"/>
  <c r="W62" i="2"/>
  <c r="V62" i="2"/>
  <c r="S62" i="2"/>
  <c r="R62" i="2"/>
  <c r="H62" i="2"/>
  <c r="F62" i="2"/>
  <c r="C3" i="2"/>
  <c r="AF54" i="2"/>
  <c r="AG54" i="2"/>
  <c r="AH54" i="2"/>
  <c r="AI54" i="2"/>
  <c r="AF55" i="2"/>
  <c r="AG55" i="2"/>
  <c r="AH55" i="2"/>
  <c r="AI55" i="2"/>
  <c r="AF56" i="2"/>
  <c r="AG56" i="2"/>
  <c r="AH56" i="2"/>
  <c r="AI56" i="2"/>
  <c r="AF57" i="2"/>
  <c r="AG57" i="2"/>
  <c r="AH57" i="2"/>
  <c r="AI57" i="2"/>
  <c r="AF58" i="2"/>
  <c r="AG58" i="2"/>
  <c r="AH58" i="2"/>
  <c r="AI58" i="2"/>
  <c r="AF59" i="2"/>
  <c r="AG59" i="2"/>
  <c r="AH59" i="2"/>
  <c r="AI59" i="2"/>
  <c r="AF60" i="2"/>
  <c r="AG60" i="2"/>
  <c r="AH60" i="2"/>
  <c r="AI60" i="2"/>
  <c r="AF61" i="2"/>
  <c r="AG61" i="2"/>
  <c r="AH61" i="2"/>
  <c r="AI61" i="2"/>
  <c r="AC61" i="2"/>
  <c r="AA61" i="2"/>
  <c r="V61" i="2"/>
  <c r="R61" i="2"/>
  <c r="H61" i="2"/>
  <c r="F61" i="2"/>
  <c r="AE61" i="2" s="1"/>
  <c r="AC60" i="2"/>
  <c r="AA60" i="2"/>
  <c r="V60" i="2"/>
  <c r="R60" i="2"/>
  <c r="H60" i="2"/>
  <c r="F60" i="2"/>
  <c r="AE60" i="2" s="1"/>
  <c r="AC59" i="2"/>
  <c r="AA59" i="2"/>
  <c r="V59" i="2"/>
  <c r="R59" i="2"/>
  <c r="J59" i="2"/>
  <c r="H59" i="2"/>
  <c r="F59" i="2"/>
  <c r="AE59" i="2" s="1"/>
  <c r="AC58" i="2"/>
  <c r="AA58" i="2"/>
  <c r="V58" i="2"/>
  <c r="R58" i="2"/>
  <c r="H58" i="2"/>
  <c r="F58" i="2"/>
  <c r="AE58" i="2" s="1"/>
  <c r="AC57" i="2"/>
  <c r="AA57" i="2"/>
  <c r="V57" i="2"/>
  <c r="R57" i="2"/>
  <c r="H57" i="2"/>
  <c r="F57" i="2"/>
  <c r="AE57" i="2" s="1"/>
  <c r="AC56" i="2"/>
  <c r="AA56" i="2"/>
  <c r="V56" i="2"/>
  <c r="R56" i="2"/>
  <c r="H56" i="2"/>
  <c r="F56" i="2"/>
  <c r="AE56" i="2" s="1"/>
  <c r="AC55" i="2"/>
  <c r="AA55" i="2"/>
  <c r="V55" i="2"/>
  <c r="R55" i="2"/>
  <c r="H55" i="2"/>
  <c r="F55" i="2"/>
  <c r="AE55" i="2" s="1"/>
  <c r="AC54" i="2"/>
  <c r="AA54" i="2"/>
  <c r="V54" i="2"/>
  <c r="R54" i="2"/>
  <c r="H54" i="2"/>
  <c r="F54" i="2"/>
  <c r="AE54" i="2" s="1"/>
  <c r="AE45" i="2"/>
  <c r="AF45" i="2"/>
  <c r="AG45" i="2"/>
  <c r="AH45" i="2"/>
  <c r="AI45" i="2"/>
  <c r="AF46" i="2"/>
  <c r="AG46" i="2"/>
  <c r="AH46" i="2"/>
  <c r="AI46" i="2"/>
  <c r="AF47" i="2"/>
  <c r="AI47" i="2"/>
  <c r="AF48" i="2"/>
  <c r="AI48" i="2"/>
  <c r="AF49" i="2"/>
  <c r="AI49" i="2"/>
  <c r="AF50" i="2"/>
  <c r="AG50" i="2"/>
  <c r="AH50" i="2"/>
  <c r="AI50" i="2"/>
  <c r="AF51" i="2"/>
  <c r="AI51" i="2"/>
  <c r="AD51" i="2"/>
  <c r="AC51" i="2" s="1"/>
  <c r="AA51" i="2"/>
  <c r="W51" i="2"/>
  <c r="V51" i="2" s="1"/>
  <c r="R51" i="2"/>
  <c r="O51" i="2"/>
  <c r="AG51" i="2" s="1"/>
  <c r="K51" i="2"/>
  <c r="H51" i="2"/>
  <c r="F51" i="2"/>
  <c r="AE51" i="2" s="1"/>
  <c r="AD50" i="2"/>
  <c r="AC50" i="2" s="1"/>
  <c r="AA50" i="2"/>
  <c r="W50" i="2"/>
  <c r="V50" i="2" s="1"/>
  <c r="R50" i="2"/>
  <c r="H50" i="2"/>
  <c r="F50" i="2"/>
  <c r="AE50" i="2" s="1"/>
  <c r="AD49" i="2"/>
  <c r="AC49" i="2" s="1"/>
  <c r="AA49" i="2"/>
  <c r="W49" i="2"/>
  <c r="V49" i="2" s="1"/>
  <c r="R49" i="2"/>
  <c r="O49" i="2"/>
  <c r="AH49" i="2" s="1"/>
  <c r="H49" i="2"/>
  <c r="F49" i="2"/>
  <c r="AE49" i="2" s="1"/>
  <c r="AD48" i="2"/>
  <c r="AC48" i="2" s="1"/>
  <c r="AA48" i="2"/>
  <c r="W48" i="2"/>
  <c r="V48" i="2" s="1"/>
  <c r="R48" i="2"/>
  <c r="O48" i="2"/>
  <c r="AG48" i="2" s="1"/>
  <c r="H48" i="2"/>
  <c r="F48" i="2"/>
  <c r="AE48" i="2" s="1"/>
  <c r="AD47" i="2"/>
  <c r="AC47" i="2" s="1"/>
  <c r="AA47" i="2"/>
  <c r="W47" i="2"/>
  <c r="V47" i="2" s="1"/>
  <c r="R47" i="2"/>
  <c r="O47" i="2"/>
  <c r="AH47" i="2" s="1"/>
  <c r="H47" i="2"/>
  <c r="F47" i="2"/>
  <c r="AE47" i="2" s="1"/>
  <c r="AD46" i="2"/>
  <c r="AC46" i="2" s="1"/>
  <c r="AA46" i="2"/>
  <c r="W46" i="2"/>
  <c r="V46" i="2" s="1"/>
  <c r="R46" i="2"/>
  <c r="H46" i="2"/>
  <c r="F46" i="2"/>
  <c r="AE46" i="2" s="1"/>
  <c r="AD45" i="2"/>
  <c r="AC45" i="2" s="1"/>
  <c r="AA45" i="2"/>
  <c r="W45" i="2"/>
  <c r="V45" i="2" s="1"/>
  <c r="R45" i="2"/>
  <c r="H45" i="2"/>
  <c r="G45" i="2"/>
  <c r="AD41" i="2"/>
  <c r="AA41" i="2"/>
  <c r="W41" i="2"/>
  <c r="V41" i="2" s="1"/>
  <c r="H41" i="2"/>
  <c r="F41" i="2"/>
  <c r="AE41" i="2" s="1"/>
  <c r="AD40" i="2"/>
  <c r="AA40" i="2"/>
  <c r="W40" i="2"/>
  <c r="V40" i="2" s="1"/>
  <c r="H40" i="2"/>
  <c r="F40" i="2"/>
  <c r="AE40" i="2" s="1"/>
  <c r="AD39" i="2"/>
  <c r="AA39" i="2"/>
  <c r="W39" i="2"/>
  <c r="V39" i="2"/>
  <c r="H39" i="2"/>
  <c r="F39" i="2"/>
  <c r="AE39" i="2" s="1"/>
  <c r="AD38" i="2"/>
  <c r="AA38" i="2"/>
  <c r="W38" i="2"/>
  <c r="V38" i="2" s="1"/>
  <c r="H38" i="2"/>
  <c r="F38" i="2"/>
  <c r="AE38" i="2" s="1"/>
  <c r="AD37" i="2"/>
  <c r="AA37" i="2"/>
  <c r="V37" i="2"/>
  <c r="H37" i="2"/>
  <c r="G37" i="2"/>
  <c r="F37" i="2"/>
  <c r="AE37" i="2" s="1"/>
  <c r="AD36" i="2"/>
  <c r="AB36" i="2"/>
  <c r="AA36" i="2"/>
  <c r="V36" i="2"/>
  <c r="R36" i="2"/>
  <c r="H36" i="2"/>
  <c r="F36" i="2"/>
  <c r="AE36" i="2" s="1"/>
  <c r="AD35" i="2"/>
  <c r="AA35" i="2"/>
  <c r="W35" i="2"/>
  <c r="V35" i="2" s="1"/>
  <c r="F35" i="2"/>
  <c r="AE35" i="2" s="1"/>
  <c r="AD34" i="2"/>
  <c r="Z34" i="2"/>
  <c r="AA34" i="2" s="1"/>
  <c r="W34" i="2"/>
  <c r="F34" i="2"/>
  <c r="AE34" i="2" s="1"/>
  <c r="AA32" i="2"/>
  <c r="V32" i="2"/>
  <c r="F32" i="2"/>
  <c r="AI32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V34" i="2" l="1"/>
  <c r="AG49" i="2"/>
  <c r="AG47" i="2"/>
  <c r="AH48" i="2"/>
  <c r="AH51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C17" i="2" s="1"/>
  <c r="AD18" i="2"/>
  <c r="AC18" i="2" s="1"/>
  <c r="AD19" i="2"/>
  <c r="AC19" i="2" s="1"/>
  <c r="AD20" i="2"/>
  <c r="AC20" i="2" s="1"/>
  <c r="AD21" i="2"/>
  <c r="AD22" i="2"/>
  <c r="AD23" i="2"/>
  <c r="AD24" i="2"/>
  <c r="AD25" i="2"/>
  <c r="AD26" i="2"/>
  <c r="AD27" i="2"/>
  <c r="AD28" i="2"/>
  <c r="AD29" i="2"/>
  <c r="AD30" i="2"/>
  <c r="AD31" i="2"/>
  <c r="AD2" i="2"/>
  <c r="AH22" i="2"/>
  <c r="AH23" i="2"/>
  <c r="AH24" i="2"/>
  <c r="AH25" i="2"/>
  <c r="AH26" i="2"/>
  <c r="AH27" i="2"/>
  <c r="AH28" i="2"/>
  <c r="AH29" i="2"/>
  <c r="AH30" i="2"/>
  <c r="AH31" i="2"/>
  <c r="AG22" i="2"/>
  <c r="AG23" i="2"/>
  <c r="AG24" i="2"/>
  <c r="AG25" i="2"/>
  <c r="AG26" i="2"/>
  <c r="AG27" i="2"/>
  <c r="AG28" i="2"/>
  <c r="AG29" i="2"/>
  <c r="AG30" i="2"/>
  <c r="AG31" i="2"/>
  <c r="AF3" i="2"/>
  <c r="AF22" i="2"/>
  <c r="AF23" i="2"/>
  <c r="AF24" i="2"/>
  <c r="AF25" i="2"/>
  <c r="AF26" i="2"/>
  <c r="AF27" i="2"/>
  <c r="AF28" i="2"/>
  <c r="AF29" i="2"/>
  <c r="AF30" i="2"/>
  <c r="AF31" i="2"/>
  <c r="AF2" i="2"/>
  <c r="AE3" i="2"/>
  <c r="AE2" i="2"/>
  <c r="AA31" i="2"/>
  <c r="W31" i="2"/>
  <c r="V31" i="2" s="1"/>
  <c r="H31" i="2"/>
  <c r="F31" i="2"/>
  <c r="AE31" i="2" s="1"/>
  <c r="AA30" i="2"/>
  <c r="W30" i="2"/>
  <c r="V30" i="2" s="1"/>
  <c r="H30" i="2"/>
  <c r="F30" i="2"/>
  <c r="AE30" i="2" s="1"/>
  <c r="AA29" i="2"/>
  <c r="W29" i="2"/>
  <c r="V29" i="2" s="1"/>
  <c r="H29" i="2"/>
  <c r="F29" i="2"/>
  <c r="AE29" i="2" s="1"/>
  <c r="AA28" i="2"/>
  <c r="W28" i="2"/>
  <c r="V28" i="2" s="1"/>
  <c r="H28" i="2"/>
  <c r="F28" i="2"/>
  <c r="AE28" i="2" s="1"/>
  <c r="AA27" i="2"/>
  <c r="W27" i="2"/>
  <c r="V27" i="2" s="1"/>
  <c r="R27" i="2"/>
  <c r="H27" i="2"/>
  <c r="F27" i="2"/>
  <c r="AE27" i="2" s="1"/>
  <c r="AA26" i="2"/>
  <c r="W26" i="2"/>
  <c r="V26" i="2" s="1"/>
  <c r="R26" i="2"/>
  <c r="H26" i="2"/>
  <c r="F26" i="2"/>
  <c r="AE26" i="2" s="1"/>
  <c r="AA25" i="2"/>
  <c r="W25" i="2"/>
  <c r="V25" i="2" s="1"/>
  <c r="F25" i="2"/>
  <c r="AE25" i="2" s="1"/>
  <c r="AA24" i="2"/>
  <c r="W24" i="2"/>
  <c r="V24" i="2" s="1"/>
  <c r="F24" i="2"/>
  <c r="AE24" i="2" s="1"/>
  <c r="AA23" i="2"/>
  <c r="W23" i="2"/>
  <c r="V23" i="2" s="1"/>
  <c r="F23" i="2"/>
  <c r="AE23" i="2" s="1"/>
  <c r="AA22" i="2"/>
  <c r="W22" i="2"/>
  <c r="V22" i="2" s="1"/>
  <c r="F22" i="2"/>
  <c r="AE22" i="2" s="1"/>
  <c r="Z21" i="2"/>
  <c r="AA21" i="2" s="1"/>
  <c r="W21" i="2"/>
  <c r="R21" i="2"/>
  <c r="T21" i="2" s="1"/>
  <c r="K21" i="2"/>
  <c r="H21" i="2"/>
  <c r="F21" i="2"/>
  <c r="Z20" i="2"/>
  <c r="W20" i="2"/>
  <c r="R20" i="2"/>
  <c r="T20" i="2" s="1"/>
  <c r="K20" i="2"/>
  <c r="H20" i="2"/>
  <c r="F20" i="2"/>
  <c r="Z19" i="2"/>
  <c r="AA19" i="2" s="1"/>
  <c r="W19" i="2"/>
  <c r="R19" i="2"/>
  <c r="T19" i="2" s="1"/>
  <c r="K19" i="2"/>
  <c r="H19" i="2"/>
  <c r="F19" i="2"/>
  <c r="AE19" i="2" s="1"/>
  <c r="Z18" i="2"/>
  <c r="AA18" i="2" s="1"/>
  <c r="W18" i="2"/>
  <c r="R18" i="2"/>
  <c r="T18" i="2" s="1"/>
  <c r="K18" i="2"/>
  <c r="H18" i="2"/>
  <c r="F18" i="2"/>
  <c r="Z17" i="2"/>
  <c r="AA17" i="2" s="1"/>
  <c r="W17" i="2"/>
  <c r="R17" i="2"/>
  <c r="T17" i="2" s="1"/>
  <c r="M17" i="2"/>
  <c r="K17" i="2"/>
  <c r="H17" i="2"/>
  <c r="F17" i="2"/>
  <c r="AE17" i="2" s="1"/>
  <c r="Z16" i="2"/>
  <c r="AA16" i="2" s="1"/>
  <c r="W16" i="2"/>
  <c r="R16" i="2"/>
  <c r="T16" i="2" s="1"/>
  <c r="K16" i="2"/>
  <c r="H16" i="2"/>
  <c r="F16" i="2"/>
  <c r="AE16" i="2" s="1"/>
  <c r="AA15" i="2"/>
  <c r="W15" i="2"/>
  <c r="V15" i="2" s="1"/>
  <c r="S15" i="2"/>
  <c r="T15" i="2" s="1"/>
  <c r="F15" i="2"/>
  <c r="J15" i="2" s="1"/>
  <c r="L15" i="2" s="1"/>
  <c r="O15" i="2" s="1"/>
  <c r="AG15" i="2" s="1"/>
  <c r="AA14" i="2"/>
  <c r="W14" i="2"/>
  <c r="V14" i="2" s="1"/>
  <c r="S14" i="2"/>
  <c r="T14" i="2" s="1"/>
  <c r="F14" i="2"/>
  <c r="J14" i="2" s="1"/>
  <c r="L14" i="2" s="1"/>
  <c r="O14" i="2" s="1"/>
  <c r="AG14" i="2" s="1"/>
  <c r="AA13" i="2"/>
  <c r="W13" i="2"/>
  <c r="V13" i="2" s="1"/>
  <c r="T13" i="2"/>
  <c r="F13" i="2"/>
  <c r="J13" i="2" s="1"/>
  <c r="L13" i="2" s="1"/>
  <c r="O13" i="2" s="1"/>
  <c r="AG13" i="2" s="1"/>
  <c r="AA12" i="2"/>
  <c r="W12" i="2"/>
  <c r="V12" i="2" s="1"/>
  <c r="T12" i="2"/>
  <c r="H12" i="2"/>
  <c r="F12" i="2"/>
  <c r="AE12" i="2" s="1"/>
  <c r="AA11" i="2"/>
  <c r="W11" i="2"/>
  <c r="V11" i="2" s="1"/>
  <c r="R11" i="2"/>
  <c r="T11" i="2" s="1"/>
  <c r="K11" i="2"/>
  <c r="H11" i="2"/>
  <c r="F11" i="2"/>
  <c r="AE11" i="2" s="1"/>
  <c r="AA10" i="2"/>
  <c r="W10" i="2"/>
  <c r="V10" i="2" s="1"/>
  <c r="R10" i="2"/>
  <c r="T10" i="2" s="1"/>
  <c r="K10" i="2"/>
  <c r="H10" i="2"/>
  <c r="F10" i="2"/>
  <c r="AE10" i="2" s="1"/>
  <c r="AA9" i="2"/>
  <c r="W9" i="2"/>
  <c r="V9" i="2" s="1"/>
  <c r="R9" i="2"/>
  <c r="T9" i="2" s="1"/>
  <c r="K9" i="2"/>
  <c r="H9" i="2"/>
  <c r="F9" i="2"/>
  <c r="AE9" i="2" s="1"/>
  <c r="AA8" i="2"/>
  <c r="W8" i="2"/>
  <c r="V8" i="2" s="1"/>
  <c r="R8" i="2"/>
  <c r="T8" i="2" s="1"/>
  <c r="K8" i="2"/>
  <c r="H8" i="2"/>
  <c r="F8" i="2"/>
  <c r="AE8" i="2" s="1"/>
  <c r="Z7" i="2"/>
  <c r="AA7" i="2" s="1"/>
  <c r="W7" i="2"/>
  <c r="R7" i="2"/>
  <c r="T7" i="2" s="1"/>
  <c r="K7" i="2"/>
  <c r="H7" i="2"/>
  <c r="F7" i="2"/>
  <c r="AE7" i="2" s="1"/>
  <c r="Z6" i="2"/>
  <c r="AA6" i="2" s="1"/>
  <c r="W6" i="2"/>
  <c r="R6" i="2"/>
  <c r="T6" i="2" s="1"/>
  <c r="K6" i="2"/>
  <c r="I6" i="2"/>
  <c r="H6" i="2"/>
  <c r="F6" i="2"/>
  <c r="AE6" i="2" s="1"/>
  <c r="AA5" i="2"/>
  <c r="W5" i="2"/>
  <c r="V5" i="2"/>
  <c r="T5" i="2"/>
  <c r="F5" i="2"/>
  <c r="J5" i="2" s="1"/>
  <c r="L5" i="2" s="1"/>
  <c r="O5" i="2" s="1"/>
  <c r="AG5" i="2" s="1"/>
  <c r="AA4" i="2"/>
  <c r="W4" i="2"/>
  <c r="V4" i="2"/>
  <c r="T4" i="2"/>
  <c r="F4" i="2"/>
  <c r="J4" i="2" s="1"/>
  <c r="L4" i="2" s="1"/>
  <c r="O4" i="2" s="1"/>
  <c r="AG4" i="2" s="1"/>
  <c r="AA3" i="2"/>
  <c r="W3" i="2"/>
  <c r="V3" i="2"/>
  <c r="O3" i="2"/>
  <c r="AG3" i="2" s="1"/>
  <c r="J3" i="2"/>
  <c r="AA2" i="2"/>
  <c r="W2" i="2"/>
  <c r="V2" i="2"/>
  <c r="O2" i="2"/>
  <c r="AG2" i="2" s="1"/>
  <c r="J2" i="2"/>
  <c r="V19" i="2" l="1"/>
  <c r="V21" i="2"/>
  <c r="AH5" i="2"/>
  <c r="J18" i="2"/>
  <c r="L18" i="2" s="1"/>
  <c r="O18" i="2" s="1"/>
  <c r="AH18" i="2" s="1"/>
  <c r="AC16" i="2"/>
  <c r="AC21" i="2"/>
  <c r="V18" i="2"/>
  <c r="V16" i="2"/>
  <c r="J21" i="2"/>
  <c r="L21" i="2" s="1"/>
  <c r="AH4" i="2"/>
  <c r="J20" i="2"/>
  <c r="L20" i="2" s="1"/>
  <c r="AH3" i="2"/>
  <c r="J10" i="2"/>
  <c r="L10" i="2" s="1"/>
  <c r="AF5" i="2"/>
  <c r="AF4" i="2"/>
  <c r="AH2" i="2"/>
  <c r="AE21" i="2"/>
  <c r="AE5" i="2"/>
  <c r="AH15" i="2"/>
  <c r="J8" i="2"/>
  <c r="L8" i="2" s="1"/>
  <c r="AE20" i="2"/>
  <c r="AE4" i="2"/>
  <c r="AH14" i="2"/>
  <c r="AH13" i="2"/>
  <c r="AE18" i="2"/>
  <c r="AF15" i="2"/>
  <c r="AF14" i="2"/>
  <c r="AE15" i="2"/>
  <c r="AF13" i="2"/>
  <c r="J9" i="2"/>
  <c r="L9" i="2" s="1"/>
  <c r="AE14" i="2"/>
  <c r="AE13" i="2"/>
  <c r="V7" i="2"/>
  <c r="J17" i="2"/>
  <c r="L17" i="2" s="1"/>
  <c r="J19" i="2"/>
  <c r="L19" i="2" s="1"/>
  <c r="J12" i="2"/>
  <c r="L12" i="2" s="1"/>
  <c r="V20" i="2"/>
  <c r="J16" i="2"/>
  <c r="L16" i="2" s="1"/>
  <c r="J11" i="2"/>
  <c r="L11" i="2" s="1"/>
  <c r="V17" i="2"/>
  <c r="AA20" i="2"/>
  <c r="J7" i="2"/>
  <c r="L7" i="2" s="1"/>
  <c r="J6" i="2"/>
  <c r="L6" i="2" s="1"/>
  <c r="V6" i="2"/>
  <c r="AG18" i="2" l="1"/>
  <c r="AF18" i="2"/>
  <c r="O9" i="2"/>
  <c r="AF9" i="2"/>
  <c r="O17" i="2"/>
  <c r="AF17" i="2"/>
  <c r="O21" i="2"/>
  <c r="AF21" i="2"/>
  <c r="O8" i="2"/>
  <c r="AF8" i="2"/>
  <c r="O12" i="2"/>
  <c r="AF12" i="2"/>
  <c r="O19" i="2"/>
  <c r="AF19" i="2"/>
  <c r="O7" i="2"/>
  <c r="AF7" i="2"/>
  <c r="O6" i="2"/>
  <c r="AF6" i="2"/>
  <c r="O10" i="2"/>
  <c r="AF10" i="2"/>
  <c r="O16" i="2"/>
  <c r="AF16" i="2"/>
  <c r="O20" i="2"/>
  <c r="AF20" i="2"/>
  <c r="O11" i="2"/>
  <c r="AF11" i="2"/>
  <c r="AG17" i="2" l="1"/>
  <c r="AH17" i="2"/>
  <c r="AG9" i="2"/>
  <c r="AH9" i="2"/>
  <c r="AH7" i="2"/>
  <c r="AG7" i="2"/>
  <c r="AG12" i="2"/>
  <c r="AH12" i="2"/>
  <c r="AG11" i="2"/>
  <c r="AH11" i="2"/>
  <c r="AH8" i="2"/>
  <c r="AG8" i="2"/>
  <c r="AG6" i="2"/>
  <c r="AH6" i="2"/>
  <c r="AG16" i="2"/>
  <c r="AH16" i="2"/>
  <c r="AG10" i="2"/>
  <c r="AH10" i="2"/>
  <c r="AG19" i="2"/>
  <c r="AH19" i="2"/>
  <c r="AG20" i="2"/>
  <c r="AH20" i="2"/>
  <c r="AH21" i="2"/>
  <c r="AG21" i="2"/>
</calcChain>
</file>

<file path=xl/sharedStrings.xml><?xml version="1.0" encoding="utf-8"?>
<sst xmlns="http://schemas.openxmlformats.org/spreadsheetml/2006/main" count="105" uniqueCount="42">
  <si>
    <t>EBIT</t>
  </si>
  <si>
    <t>Revenue</t>
  </si>
  <si>
    <t>Cost of Goods Sold</t>
  </si>
  <si>
    <t>Gross Profit</t>
  </si>
  <si>
    <t>Genereal Expenses</t>
  </si>
  <si>
    <t>Other</t>
  </si>
  <si>
    <t>Other Incomes</t>
  </si>
  <si>
    <t>Net Income</t>
  </si>
  <si>
    <t>Adjusted EBIT</t>
  </si>
  <si>
    <t>Non-Current Assets</t>
  </si>
  <si>
    <t>Inventories</t>
  </si>
  <si>
    <t>Receivables</t>
  </si>
  <si>
    <t>Cash</t>
  </si>
  <si>
    <t>Total Assets</t>
  </si>
  <si>
    <t>Current Liabilities</t>
  </si>
  <si>
    <t>Payables</t>
  </si>
  <si>
    <t>Long-Term Debt</t>
  </si>
  <si>
    <t>Short-Term Debt</t>
  </si>
  <si>
    <t>Total Debt</t>
  </si>
  <si>
    <t>Tax Paybles</t>
  </si>
  <si>
    <t>Total Liabilities</t>
  </si>
  <si>
    <t>Total Liabilities &amp; Shareholders' Equity</t>
  </si>
  <si>
    <t>Net Interest Expense</t>
  </si>
  <si>
    <t>Depreciation</t>
  </si>
  <si>
    <t>Taxes</t>
  </si>
  <si>
    <t>Current Assets</t>
  </si>
  <si>
    <t>Company</t>
  </si>
  <si>
    <t>Year</t>
  </si>
  <si>
    <t>Gross margin ratio</t>
  </si>
  <si>
    <t>Operating margin ratio</t>
  </si>
  <si>
    <t>Net Profit margin</t>
  </si>
  <si>
    <t>Return on assets ratio</t>
  </si>
  <si>
    <t>Capital Employed</t>
  </si>
  <si>
    <t>Total Equity</t>
  </si>
  <si>
    <t>Εκδόσεις Ψυχογιός</t>
  </si>
  <si>
    <t>Εκδόσεις Πατάκη</t>
  </si>
  <si>
    <t>Εκδόσεις Μεταίχμιο</t>
  </si>
  <si>
    <t>Εκδόσεις Διόπτρα</t>
  </si>
  <si>
    <t>Εκδόσεις Καστανιώτη</t>
  </si>
  <si>
    <t>Εκδόσεις Λιβάνη</t>
  </si>
  <si>
    <t>Weight</t>
  </si>
  <si>
    <t>Ελδόσεις Κλειδάριθμος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</si>
</sst>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.0\ _€_-;\-* #,##0.0\ _€_-;_-* &quot;-&quot;?\ _€_-;_-@_-"/>
    <numFmt numFmtId="166" formatCode="0.0%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9" fontId="0" fillId="0" borderId="0" xfId="2" applyFont="1" applyAlignment="1">
      <alignment horizontal="center"/>
    </xf>
    <xf numFmtId="43" fontId="0" fillId="0" borderId="0" xfId="1" applyFont="1"/>
    <xf numFmtId="2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C7D7-0A87-44A2-ACAD-6E3C3F67C9FE}">
  <dimension ref="A1:AI79"/>
  <sheetViews>
    <sheetView tabSelected="1"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D73" sqref="D73"/>
    </sheetView>
  </sheetViews>
  <sheetFormatPr defaultRowHeight="14.6" x14ac:dyDescent="0.4"/>
  <cols>
    <col min="1" max="1" width="14.69140625" style="2" customWidth="1"/>
    <col min="2" max="2" width="19.15234375" style="2" customWidth="1"/>
    <col min="3" max="3" width="10.84375" style="2" customWidth="1"/>
    <col min="4" max="35" width="14.69140625" style="2" customWidth="1"/>
    <col min="36" max="16384" width="9.23046875" style="2"/>
  </cols>
  <sheetData>
    <row r="1" spans="1:35" ht="43.3" customHeight="1" x14ac:dyDescent="0.4">
      <c r="A1" s="6" t="s">
        <v>27</v>
      </c>
      <c r="B1" s="6" t="s">
        <v>26</v>
      </c>
      <c r="C1" s="6" t="s">
        <v>40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23</v>
      </c>
      <c r="J1" s="6" t="s">
        <v>0</v>
      </c>
      <c r="K1" s="6" t="s">
        <v>22</v>
      </c>
      <c r="L1" s="6" t="s">
        <v>8</v>
      </c>
      <c r="M1" s="6" t="s">
        <v>5</v>
      </c>
      <c r="N1" s="6" t="s">
        <v>24</v>
      </c>
      <c r="O1" s="6" t="s">
        <v>7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25</v>
      </c>
      <c r="U1" s="6" t="s">
        <v>13</v>
      </c>
      <c r="V1" s="6" t="s">
        <v>15</v>
      </c>
      <c r="W1" s="6" t="s">
        <v>19</v>
      </c>
      <c r="X1" s="6" t="s">
        <v>14</v>
      </c>
      <c r="Y1" s="6" t="s">
        <v>16</v>
      </c>
      <c r="Z1" s="6" t="s">
        <v>17</v>
      </c>
      <c r="AA1" s="6" t="s">
        <v>18</v>
      </c>
      <c r="AB1" s="6" t="s">
        <v>20</v>
      </c>
      <c r="AC1" s="6" t="s">
        <v>33</v>
      </c>
      <c r="AD1" s="6" t="s">
        <v>21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</row>
    <row r="2" spans="1:35" x14ac:dyDescent="0.4">
      <c r="A2" s="1">
        <v>2011</v>
      </c>
      <c r="B2" s="2" t="s">
        <v>34</v>
      </c>
      <c r="C2" s="13">
        <f>D2/SUMIF($A$2:$A$71,A2,$D$2:$D$71)</f>
        <v>0.37705027416286191</v>
      </c>
      <c r="D2" s="3">
        <v>13660485.380000001</v>
      </c>
      <c r="E2" s="3">
        <v>-3400600.16</v>
      </c>
      <c r="F2" s="3">
        <v>10259885.220000001</v>
      </c>
      <c r="G2" s="3">
        <v>624026.87</v>
      </c>
      <c r="H2" s="3">
        <v>-9425103.6500000004</v>
      </c>
      <c r="I2" s="3">
        <v>0</v>
      </c>
      <c r="J2" s="3">
        <f t="shared" ref="J2:J16" si="0">F2+G2+H2+I2</f>
        <v>1458808.4399999995</v>
      </c>
      <c r="K2" s="3">
        <v>-132807.85999999999</v>
      </c>
      <c r="L2" s="3">
        <v>1326000.58</v>
      </c>
      <c r="M2" s="3">
        <v>-23238.66</v>
      </c>
      <c r="N2" s="3">
        <v>0</v>
      </c>
      <c r="O2" s="3">
        <f t="shared" ref="O2:O11" si="1">L2+M2+N2</f>
        <v>1302761.9200000002</v>
      </c>
      <c r="P2" s="3">
        <v>4322233.8</v>
      </c>
      <c r="Q2" s="3">
        <v>2256861.5499999998</v>
      </c>
      <c r="R2" s="3">
        <v>8207140.3499999996</v>
      </c>
      <c r="S2" s="3">
        <v>971077.03</v>
      </c>
      <c r="T2" s="3">
        <v>11435078.93</v>
      </c>
      <c r="U2" s="3">
        <v>16221549.140000001</v>
      </c>
      <c r="V2" s="3">
        <f>367515.13+839887.3+181130.29+470600+608748.94</f>
        <v>2467881.66</v>
      </c>
      <c r="W2" s="2">
        <f>251325.81+86955.37</f>
        <v>338281.18</v>
      </c>
      <c r="X2" s="3">
        <v>4306162.84</v>
      </c>
      <c r="Y2" s="3">
        <v>1466900</v>
      </c>
      <c r="Z2" s="3">
        <v>1500000</v>
      </c>
      <c r="AA2" s="3">
        <f t="shared" ref="AA2:AA11" si="2">Z2+Y2</f>
        <v>2966900</v>
      </c>
      <c r="AB2" s="3">
        <v>5773062.8399999999</v>
      </c>
      <c r="AC2" s="3">
        <v>9462442.0899999999</v>
      </c>
      <c r="AD2" s="3">
        <f>U2</f>
        <v>16221549.140000001</v>
      </c>
      <c r="AE2" s="5">
        <f>F2/D2</f>
        <v>0.75106300651814761</v>
      </c>
      <c r="AF2" s="5">
        <f>L2/D2</f>
        <v>9.7068335649432097E-2</v>
      </c>
      <c r="AG2" s="5">
        <f>O2/D2</f>
        <v>9.5367176477297325E-2</v>
      </c>
      <c r="AH2" s="5">
        <f>O2/U2</f>
        <v>8.031057383955871E-2</v>
      </c>
      <c r="AI2" s="7">
        <f>U2-X2</f>
        <v>11915386.300000001</v>
      </c>
    </row>
    <row r="3" spans="1:35" x14ac:dyDescent="0.4">
      <c r="A3" s="1">
        <v>2012</v>
      </c>
      <c r="B3" s="2" t="s">
        <v>34</v>
      </c>
      <c r="C3" s="13">
        <f t="shared" ref="C3:C65" si="3">D3/SUMIF($A$2:$A$61,A3,$D$2:$D$61)</f>
        <v>0.41092367512714884</v>
      </c>
      <c r="D3" s="3">
        <v>12502330.33</v>
      </c>
      <c r="E3" s="3">
        <v>-3441412.27</v>
      </c>
      <c r="F3" s="3">
        <v>9060918.0600000005</v>
      </c>
      <c r="G3" s="3">
        <v>476115.45</v>
      </c>
      <c r="H3" s="3">
        <v>-8738705.6699999999</v>
      </c>
      <c r="I3" s="3">
        <v>0</v>
      </c>
      <c r="J3" s="3">
        <f t="shared" si="0"/>
        <v>798327.83999999985</v>
      </c>
      <c r="K3" s="3">
        <v>-177356.36</v>
      </c>
      <c r="L3" s="3">
        <v>620971.48</v>
      </c>
      <c r="M3" s="3">
        <v>-12153.5</v>
      </c>
      <c r="N3" s="3">
        <v>0</v>
      </c>
      <c r="O3" s="3">
        <f t="shared" si="1"/>
        <v>608817.98</v>
      </c>
      <c r="P3" s="3">
        <v>4096995.78</v>
      </c>
      <c r="Q3" s="3">
        <v>1981159.78</v>
      </c>
      <c r="R3" s="3">
        <v>6855957.7199999997</v>
      </c>
      <c r="S3" s="3">
        <v>2053258.49</v>
      </c>
      <c r="T3" s="3">
        <v>10890375.99</v>
      </c>
      <c r="U3" s="3">
        <v>15503740.949999999</v>
      </c>
      <c r="V3" s="3">
        <f>226743.33+1124363.29+105275.32+470600+705179.09</f>
        <v>2632161.0300000003</v>
      </c>
      <c r="W3" s="3">
        <f>571230.46+96174.67</f>
        <v>667405.13</v>
      </c>
      <c r="X3" s="3">
        <v>3753068.92</v>
      </c>
      <c r="Y3" s="3">
        <v>1022300</v>
      </c>
      <c r="Z3" s="3">
        <v>453502.76</v>
      </c>
      <c r="AA3" s="3">
        <f t="shared" si="2"/>
        <v>1475802.76</v>
      </c>
      <c r="AB3" s="3">
        <v>4775369.92</v>
      </c>
      <c r="AC3" s="3">
        <v>9895918.5700000003</v>
      </c>
      <c r="AD3" s="3">
        <f t="shared" ref="AD3:AD31" si="4">U3</f>
        <v>15503740.949999999</v>
      </c>
      <c r="AE3" s="5">
        <f t="shared" ref="AE3:AE31" si="5">F3/D3</f>
        <v>0.72473833444136815</v>
      </c>
      <c r="AF3" s="5">
        <f t="shared" ref="AF3:AF31" si="6">L3/D3</f>
        <v>4.9668458888015958E-2</v>
      </c>
      <c r="AG3" s="5">
        <f t="shared" ref="AG3:AG31" si="7">O3/D3</f>
        <v>4.8696360112891052E-2</v>
      </c>
      <c r="AH3" s="5">
        <f t="shared" ref="AH3:AH31" si="8">O3/U3</f>
        <v>3.9269101693807651E-2</v>
      </c>
      <c r="AI3" s="7">
        <f t="shared" ref="AI3:AI31" si="9">U3-X3</f>
        <v>11750672.029999999</v>
      </c>
    </row>
    <row r="4" spans="1:35" x14ac:dyDescent="0.4">
      <c r="A4" s="1">
        <v>2013</v>
      </c>
      <c r="B4" s="2" t="s">
        <v>34</v>
      </c>
      <c r="C4" s="13">
        <f t="shared" si="3"/>
        <v>0.32798612420937728</v>
      </c>
      <c r="D4" s="3">
        <v>13633275.630000001</v>
      </c>
      <c r="E4" s="3">
        <v>-3521769.06</v>
      </c>
      <c r="F4" s="3">
        <f t="shared" ref="F4:F31" si="10">D4+E4</f>
        <v>10111506.57</v>
      </c>
      <c r="G4" s="3">
        <v>629383.48</v>
      </c>
      <c r="H4" s="3">
        <v>-9659732.9900000002</v>
      </c>
      <c r="I4" s="3">
        <v>0</v>
      </c>
      <c r="J4" s="3">
        <f t="shared" si="0"/>
        <v>1081157.0600000005</v>
      </c>
      <c r="K4" s="3">
        <v>-58549.34</v>
      </c>
      <c r="L4" s="3">
        <f t="shared" ref="L4:L21" si="11">J4+K4</f>
        <v>1022607.7200000006</v>
      </c>
      <c r="M4" s="3">
        <v>10277.42</v>
      </c>
      <c r="N4" s="3">
        <v>0</v>
      </c>
      <c r="O4" s="3">
        <f t="shared" si="1"/>
        <v>1032885.1400000006</v>
      </c>
      <c r="P4" s="3">
        <v>4198019.9800000004</v>
      </c>
      <c r="Q4" s="3">
        <v>1792962.75</v>
      </c>
      <c r="R4" s="3">
        <v>6712564.25</v>
      </c>
      <c r="S4" s="3">
        <v>2124652.35</v>
      </c>
      <c r="T4" s="3">
        <f t="shared" ref="T4:T21" si="12">Q4+R4+S4</f>
        <v>10630179.35</v>
      </c>
      <c r="U4" s="3">
        <v>14975485.300000001</v>
      </c>
      <c r="V4" s="3">
        <f>161494.49+876592.61+104020+1097379.17</f>
        <v>2239486.27</v>
      </c>
      <c r="W4" s="3">
        <f>1148630.98+108313.91</f>
        <v>1256944.8899999999</v>
      </c>
      <c r="X4" s="3">
        <v>3967031.65</v>
      </c>
      <c r="Y4" s="3">
        <v>551700</v>
      </c>
      <c r="Z4" s="3">
        <v>0</v>
      </c>
      <c r="AA4" s="3">
        <f t="shared" si="2"/>
        <v>551700</v>
      </c>
      <c r="AB4" s="3">
        <v>4518731.6500000004</v>
      </c>
      <c r="AC4" s="3">
        <v>9205899.5</v>
      </c>
      <c r="AD4" s="3">
        <f t="shared" si="4"/>
        <v>14975485.300000001</v>
      </c>
      <c r="AE4" s="5">
        <f t="shared" si="5"/>
        <v>0.74167843770059538</v>
      </c>
      <c r="AF4" s="5">
        <f t="shared" si="6"/>
        <v>7.500821869615501E-2</v>
      </c>
      <c r="AG4" s="5">
        <f t="shared" si="7"/>
        <v>7.5762066874606321E-2</v>
      </c>
      <c r="AH4" s="5">
        <f t="shared" si="8"/>
        <v>6.8971730752525301E-2</v>
      </c>
      <c r="AI4" s="7">
        <f t="shared" si="9"/>
        <v>11008453.65</v>
      </c>
    </row>
    <row r="5" spans="1:35" x14ac:dyDescent="0.4">
      <c r="A5" s="1">
        <v>2014</v>
      </c>
      <c r="B5" s="2" t="s">
        <v>34</v>
      </c>
      <c r="C5" s="13">
        <f t="shared" si="3"/>
        <v>0.31382844110260744</v>
      </c>
      <c r="D5" s="3">
        <v>14069884.390000001</v>
      </c>
      <c r="E5" s="3">
        <v>-3828220.14</v>
      </c>
      <c r="F5" s="3">
        <f t="shared" si="10"/>
        <v>10241664.25</v>
      </c>
      <c r="G5" s="3">
        <v>577765.78</v>
      </c>
      <c r="H5" s="3">
        <v>-9153431.2400000002</v>
      </c>
      <c r="I5" s="3">
        <v>0</v>
      </c>
      <c r="J5" s="3">
        <f t="shared" si="0"/>
        <v>1665998.7899999991</v>
      </c>
      <c r="K5" s="3">
        <v>-35153.370000000003</v>
      </c>
      <c r="L5" s="3">
        <f t="shared" si="11"/>
        <v>1630845.419999999</v>
      </c>
      <c r="M5" s="3">
        <v>-2460.7800000000002</v>
      </c>
      <c r="N5" s="3">
        <v>0</v>
      </c>
      <c r="O5" s="3">
        <f t="shared" si="1"/>
        <v>1628384.639999999</v>
      </c>
      <c r="P5" s="3">
        <v>4443615.74</v>
      </c>
      <c r="Q5" s="3">
        <v>2514129.66</v>
      </c>
      <c r="R5" s="3">
        <v>8007024.1500000004</v>
      </c>
      <c r="S5" s="3">
        <v>633175.67000000004</v>
      </c>
      <c r="T5" s="3">
        <f t="shared" si="12"/>
        <v>11154329.48</v>
      </c>
      <c r="U5" s="3">
        <v>15745298.82</v>
      </c>
      <c r="V5" s="3">
        <f>498716.24+859854.71+73765.54+470600+906030.21</f>
        <v>2808966.7</v>
      </c>
      <c r="W5" s="3">
        <f>1290862.31+99438.88</f>
        <v>1390301.19</v>
      </c>
      <c r="X5" s="3">
        <v>6426009.9800000004</v>
      </c>
      <c r="Y5" s="3">
        <v>82200</v>
      </c>
      <c r="Z5" s="3">
        <v>0</v>
      </c>
      <c r="AA5" s="3">
        <f t="shared" si="2"/>
        <v>82200</v>
      </c>
      <c r="AB5" s="3">
        <v>6508209.9800000004</v>
      </c>
      <c r="AC5" s="3">
        <v>7675576.96</v>
      </c>
      <c r="AD5" s="3">
        <f t="shared" si="4"/>
        <v>15745298.82</v>
      </c>
      <c r="AE5" s="5">
        <f t="shared" si="5"/>
        <v>0.72791388799748336</v>
      </c>
      <c r="AF5" s="5">
        <f t="shared" si="6"/>
        <v>0.11591036392303995</v>
      </c>
      <c r="AG5" s="5">
        <f t="shared" si="7"/>
        <v>0.11573546696356322</v>
      </c>
      <c r="AH5" s="5">
        <f t="shared" si="8"/>
        <v>0.10342037065257799</v>
      </c>
      <c r="AI5" s="7">
        <f t="shared" si="9"/>
        <v>9319288.8399999999</v>
      </c>
    </row>
    <row r="6" spans="1:35" x14ac:dyDescent="0.4">
      <c r="A6" s="1">
        <v>2015</v>
      </c>
      <c r="B6" s="2" t="s">
        <v>34</v>
      </c>
      <c r="C6" s="13">
        <f t="shared" si="3"/>
        <v>0.33157562424418024</v>
      </c>
      <c r="D6" s="3">
        <v>13353101.529999999</v>
      </c>
      <c r="E6" s="3">
        <v>-3204077.02</v>
      </c>
      <c r="F6" s="3">
        <f t="shared" si="10"/>
        <v>10149024.51</v>
      </c>
      <c r="G6" s="3">
        <v>545940.31999999995</v>
      </c>
      <c r="H6" s="3">
        <f>-2342070.24-6571749.51-26208.11+30840.76</f>
        <v>-8909187.0999999996</v>
      </c>
      <c r="I6" s="3">
        <f>-310063.93</f>
        <v>-310063.93</v>
      </c>
      <c r="J6" s="3">
        <f t="shared" si="0"/>
        <v>1475713.8000000005</v>
      </c>
      <c r="K6" s="3">
        <f>3200.28+-124871.2</f>
        <v>-121670.92</v>
      </c>
      <c r="L6" s="3">
        <f t="shared" si="11"/>
        <v>1354042.8800000006</v>
      </c>
      <c r="M6" s="3">
        <v>0</v>
      </c>
      <c r="N6" s="3">
        <v>-703828.57</v>
      </c>
      <c r="O6" s="3">
        <f t="shared" si="1"/>
        <v>650214.31000000064</v>
      </c>
      <c r="P6" s="3">
        <v>4004172.27</v>
      </c>
      <c r="Q6" s="3">
        <v>2942884.66</v>
      </c>
      <c r="R6" s="3">
        <f>6866427.52+885980.77+172447.79</f>
        <v>7924856.0799999991</v>
      </c>
      <c r="S6" s="3">
        <v>655448.66</v>
      </c>
      <c r="T6" s="3">
        <f t="shared" si="12"/>
        <v>11523189.399999999</v>
      </c>
      <c r="U6" s="3">
        <v>15527361.67</v>
      </c>
      <c r="V6" s="3">
        <f t="shared" ref="V6:V31" si="13">X6-W6-Z6</f>
        <v>4679661.8600000003</v>
      </c>
      <c r="W6" s="3">
        <f>703828.57+164803.9+93431.34</f>
        <v>962063.80999999994</v>
      </c>
      <c r="X6" s="3">
        <v>6879533.5599999996</v>
      </c>
      <c r="Y6" s="3">
        <v>86252.14</v>
      </c>
      <c r="Z6" s="3">
        <f>1237807.89</f>
        <v>1237807.8899999999</v>
      </c>
      <c r="AA6" s="3">
        <f t="shared" si="2"/>
        <v>1324060.0299999998</v>
      </c>
      <c r="AB6" s="3">
        <v>6965785.7000000002</v>
      </c>
      <c r="AC6" s="3">
        <v>8325791.2699999996</v>
      </c>
      <c r="AD6" s="3">
        <f t="shared" si="4"/>
        <v>15527361.67</v>
      </c>
      <c r="AE6" s="5">
        <f t="shared" si="5"/>
        <v>0.76004997694344656</v>
      </c>
      <c r="AF6" s="5">
        <f t="shared" si="6"/>
        <v>0.1014028746024221</v>
      </c>
      <c r="AG6" s="5">
        <f t="shared" si="7"/>
        <v>4.8693878986779536E-2</v>
      </c>
      <c r="AH6" s="5">
        <f t="shared" si="8"/>
        <v>4.1875388995173748E-2</v>
      </c>
      <c r="AI6" s="7">
        <f t="shared" si="9"/>
        <v>8647828.1099999994</v>
      </c>
    </row>
    <row r="7" spans="1:35" x14ac:dyDescent="0.4">
      <c r="A7" s="1">
        <v>2016</v>
      </c>
      <c r="B7" s="2" t="s">
        <v>34</v>
      </c>
      <c r="C7" s="13">
        <f t="shared" si="3"/>
        <v>0.32933682687114546</v>
      </c>
      <c r="D7" s="3">
        <v>14002879.140000001</v>
      </c>
      <c r="E7" s="3">
        <v>-3548575.36</v>
      </c>
      <c r="F7" s="3">
        <f t="shared" si="10"/>
        <v>10454303.780000001</v>
      </c>
      <c r="G7" s="3">
        <v>545788.78</v>
      </c>
      <c r="H7" s="3">
        <f>-1886388.25-6809684.31-15763.41+114539.91</f>
        <v>-8597296.0599999987</v>
      </c>
      <c r="I7" s="3">
        <v>-21379.43</v>
      </c>
      <c r="J7" s="3">
        <f t="shared" si="0"/>
        <v>2381417.0700000017</v>
      </c>
      <c r="K7" s="3">
        <f>1476.38-68807.93</f>
        <v>-67331.549999999988</v>
      </c>
      <c r="L7" s="3">
        <f t="shared" si="11"/>
        <v>2314085.5200000019</v>
      </c>
      <c r="M7" s="3">
        <v>0</v>
      </c>
      <c r="N7" s="3">
        <v>-707645.12</v>
      </c>
      <c r="O7" s="3">
        <f t="shared" si="1"/>
        <v>1606440.4000000018</v>
      </c>
      <c r="P7" s="3">
        <v>3761043.47</v>
      </c>
      <c r="Q7" s="3">
        <v>3158827.5</v>
      </c>
      <c r="R7" s="3">
        <f>6509037.84+951924.14+179581.57</f>
        <v>7640543.5499999998</v>
      </c>
      <c r="S7" s="3">
        <v>579810.69999999995</v>
      </c>
      <c r="T7" s="3">
        <f t="shared" si="12"/>
        <v>11379181.75</v>
      </c>
      <c r="U7" s="3">
        <v>15140225.220000001</v>
      </c>
      <c r="V7" s="3">
        <f t="shared" si="13"/>
        <v>5225356</v>
      </c>
      <c r="W7" s="3">
        <f>707645.12+121811.03+108231.71</f>
        <v>937687.86</v>
      </c>
      <c r="X7" s="3">
        <v>6565662.7800000003</v>
      </c>
      <c r="Y7" s="3">
        <v>86252.14</v>
      </c>
      <c r="Z7" s="3">
        <f>402618.92</f>
        <v>402618.92</v>
      </c>
      <c r="AA7" s="3">
        <f t="shared" si="2"/>
        <v>488871.06</v>
      </c>
      <c r="AB7" s="3">
        <v>6651914.9199999999</v>
      </c>
      <c r="AC7" s="3">
        <v>8237111.5700000003</v>
      </c>
      <c r="AD7" s="3">
        <f t="shared" si="4"/>
        <v>15140225.220000001</v>
      </c>
      <c r="AE7" s="5">
        <f t="shared" si="5"/>
        <v>0.74658244747229896</v>
      </c>
      <c r="AF7" s="5">
        <f t="shared" si="6"/>
        <v>0.16525783711077591</v>
      </c>
      <c r="AG7" s="5">
        <f t="shared" si="7"/>
        <v>0.11472214991923452</v>
      </c>
      <c r="AH7" s="5">
        <f t="shared" si="8"/>
        <v>0.10610412835060863</v>
      </c>
      <c r="AI7" s="7">
        <f t="shared" si="9"/>
        <v>8574562.4400000013</v>
      </c>
    </row>
    <row r="8" spans="1:35" x14ac:dyDescent="0.4">
      <c r="A8" s="1">
        <v>2017</v>
      </c>
      <c r="B8" s="2" t="s">
        <v>34</v>
      </c>
      <c r="C8" s="13">
        <f t="shared" si="3"/>
        <v>0.32990719240697147</v>
      </c>
      <c r="D8" s="3">
        <v>13616601.92</v>
      </c>
      <c r="E8" s="3">
        <v>-3763340.13</v>
      </c>
      <c r="F8" s="3">
        <f t="shared" si="10"/>
        <v>9853261.7899999991</v>
      </c>
      <c r="G8" s="3">
        <v>607753.41</v>
      </c>
      <c r="H8" s="3">
        <f>-1823493.91-6907717.86-9747.42+150059.72</f>
        <v>-8590899.4699999988</v>
      </c>
      <c r="I8" s="3">
        <v>-93361.82</v>
      </c>
      <c r="J8" s="3">
        <f t="shared" si="0"/>
        <v>1776753.9100000004</v>
      </c>
      <c r="K8" s="3">
        <f>1766.63-46496.54</f>
        <v>-44729.91</v>
      </c>
      <c r="L8" s="3">
        <f t="shared" si="11"/>
        <v>1732024.0000000005</v>
      </c>
      <c r="M8" s="3">
        <v>0</v>
      </c>
      <c r="N8" s="3">
        <v>-518135.63</v>
      </c>
      <c r="O8" s="3">
        <f t="shared" si="1"/>
        <v>1213888.3700000006</v>
      </c>
      <c r="P8" s="3">
        <v>3693114.43</v>
      </c>
      <c r="Q8" s="3">
        <v>3435264.91</v>
      </c>
      <c r="R8" s="3">
        <f>7265420.93+1153865.99+253349.35+11445.23</f>
        <v>8684081.5</v>
      </c>
      <c r="S8" s="3">
        <v>582456.53</v>
      </c>
      <c r="T8" s="3">
        <f t="shared" si="12"/>
        <v>12701802.939999999</v>
      </c>
      <c r="U8" s="3">
        <v>16394917.390000001</v>
      </c>
      <c r="V8" s="3">
        <f t="shared" si="13"/>
        <v>4268166.3499999996</v>
      </c>
      <c r="W8" s="3">
        <f>518135.63+279143.76+106299.41</f>
        <v>903578.8</v>
      </c>
      <c r="X8" s="3">
        <v>6572445</v>
      </c>
      <c r="Y8" s="3">
        <v>88494.7</v>
      </c>
      <c r="Z8" s="3">
        <v>1400699.85</v>
      </c>
      <c r="AA8" s="3">
        <f t="shared" si="2"/>
        <v>1489194.55</v>
      </c>
      <c r="AB8" s="3">
        <v>6660939.7000000002</v>
      </c>
      <c r="AC8" s="3">
        <v>9450999.9399999995</v>
      </c>
      <c r="AD8" s="3">
        <f t="shared" si="4"/>
        <v>16394917.390000001</v>
      </c>
      <c r="AE8" s="5">
        <f t="shared" si="5"/>
        <v>0.72362119770333999</v>
      </c>
      <c r="AF8" s="5">
        <f t="shared" si="6"/>
        <v>0.12719942979723978</v>
      </c>
      <c r="AG8" s="5">
        <f t="shared" si="7"/>
        <v>8.9147672608174522E-2</v>
      </c>
      <c r="AH8" s="5">
        <f t="shared" si="8"/>
        <v>7.4040529825444915E-2</v>
      </c>
      <c r="AI8" s="7">
        <f t="shared" si="9"/>
        <v>9822472.3900000006</v>
      </c>
    </row>
    <row r="9" spans="1:35" x14ac:dyDescent="0.4">
      <c r="A9" s="1">
        <v>2018</v>
      </c>
      <c r="B9" s="2" t="s">
        <v>34</v>
      </c>
      <c r="C9" s="13">
        <f t="shared" si="3"/>
        <v>0.19582445696116185</v>
      </c>
      <c r="D9" s="3">
        <v>7018175.46</v>
      </c>
      <c r="E9" s="3">
        <v>-2232473.65</v>
      </c>
      <c r="F9" s="3">
        <f t="shared" si="10"/>
        <v>4785701.8100000005</v>
      </c>
      <c r="G9" s="3">
        <v>21035.89</v>
      </c>
      <c r="H9" s="3">
        <f>-1071135.45-3513619.55-8015.56+3363.96</f>
        <v>-4589406.5999999996</v>
      </c>
      <c r="I9" s="3">
        <v>-41343.43</v>
      </c>
      <c r="J9" s="3">
        <f t="shared" si="0"/>
        <v>175987.67000000057</v>
      </c>
      <c r="K9" s="3">
        <f>1033.45-19572.42</f>
        <v>-18538.969999999998</v>
      </c>
      <c r="L9" s="3">
        <f t="shared" si="11"/>
        <v>157448.70000000056</v>
      </c>
      <c r="M9" s="3">
        <v>0</v>
      </c>
      <c r="N9" s="3">
        <v>-76887.3</v>
      </c>
      <c r="O9" s="3">
        <f t="shared" si="1"/>
        <v>80561.400000000562</v>
      </c>
      <c r="P9" s="3">
        <v>774420.73</v>
      </c>
      <c r="Q9" s="3">
        <v>3157826.4</v>
      </c>
      <c r="R9" s="3">
        <f>7057603.64+283499.26+260217.73+1119.66</f>
        <v>7602440.29</v>
      </c>
      <c r="S9" s="3">
        <v>723493.67</v>
      </c>
      <c r="T9" s="3">
        <f t="shared" si="12"/>
        <v>11483760.359999999</v>
      </c>
      <c r="U9" s="3">
        <v>12258181.09</v>
      </c>
      <c r="V9" s="3">
        <f t="shared" si="13"/>
        <v>4419301.09</v>
      </c>
      <c r="W9" s="3">
        <f>76887.3+297377.85+105987</f>
        <v>480252.14999999997</v>
      </c>
      <c r="X9" s="3">
        <v>4899553.24</v>
      </c>
      <c r="Y9" s="3">
        <v>0</v>
      </c>
      <c r="Z9" s="3">
        <v>0</v>
      </c>
      <c r="AA9" s="3">
        <f t="shared" si="2"/>
        <v>0</v>
      </c>
      <c r="AB9" s="3">
        <v>4899553.24</v>
      </c>
      <c r="AC9" s="3">
        <v>7052012.8399999999</v>
      </c>
      <c r="AD9" s="3">
        <f t="shared" si="4"/>
        <v>12258181.09</v>
      </c>
      <c r="AE9" s="5">
        <f t="shared" si="5"/>
        <v>0.68190113474307479</v>
      </c>
      <c r="AF9" s="5">
        <f t="shared" si="6"/>
        <v>2.2434420583722563E-2</v>
      </c>
      <c r="AG9" s="5">
        <f t="shared" si="7"/>
        <v>1.1478966358017012E-2</v>
      </c>
      <c r="AH9" s="5">
        <f t="shared" si="8"/>
        <v>6.5720517104875436E-3</v>
      </c>
      <c r="AI9" s="7">
        <f t="shared" si="9"/>
        <v>7358627.8499999996</v>
      </c>
    </row>
    <row r="10" spans="1:35" x14ac:dyDescent="0.4">
      <c r="A10" s="1">
        <v>2019</v>
      </c>
      <c r="B10" s="2" t="s">
        <v>34</v>
      </c>
      <c r="C10" s="13">
        <f t="shared" si="3"/>
        <v>0.29786126451046258</v>
      </c>
      <c r="D10" s="3">
        <v>12677430.630000001</v>
      </c>
      <c r="E10" s="3">
        <v>-4030115.71</v>
      </c>
      <c r="F10" s="3">
        <f t="shared" si="10"/>
        <v>8647314.9200000018</v>
      </c>
      <c r="G10" s="3">
        <v>61709.32</v>
      </c>
      <c r="H10" s="3">
        <f>-1518986.64-5697411.83-4602+30820.91+5320.31</f>
        <v>-7184859.25</v>
      </c>
      <c r="I10" s="3">
        <v>-30815.05</v>
      </c>
      <c r="J10" s="3">
        <f t="shared" si="0"/>
        <v>1493349.940000002</v>
      </c>
      <c r="K10" s="3">
        <f>1659.86-65564.07</f>
        <v>-63904.210000000006</v>
      </c>
      <c r="L10" s="3">
        <f t="shared" si="11"/>
        <v>1429445.7300000021</v>
      </c>
      <c r="M10" s="3">
        <v>0</v>
      </c>
      <c r="N10" s="3">
        <v>-369166.05</v>
      </c>
      <c r="O10" s="3">
        <f t="shared" si="1"/>
        <v>1060279.680000002</v>
      </c>
      <c r="P10" s="3">
        <v>801280.84</v>
      </c>
      <c r="Q10" s="3">
        <v>3671483.85</v>
      </c>
      <c r="R10" s="3">
        <f>7072227.91+509301.21+253934.79+1074.34</f>
        <v>7836538.25</v>
      </c>
      <c r="S10" s="3">
        <v>1038458.23</v>
      </c>
      <c r="T10" s="3">
        <f t="shared" si="12"/>
        <v>12546480.33</v>
      </c>
      <c r="U10" s="3">
        <v>13347761.17</v>
      </c>
      <c r="V10" s="3">
        <f t="shared" si="13"/>
        <v>3562393.2899999991</v>
      </c>
      <c r="W10" s="3">
        <f>369166+83702.44+97838.21</f>
        <v>550706.65</v>
      </c>
      <c r="X10" s="3">
        <v>4931540.6399999997</v>
      </c>
      <c r="Y10" s="3">
        <v>0</v>
      </c>
      <c r="Z10" s="3">
        <v>818440.7</v>
      </c>
      <c r="AA10" s="3">
        <f t="shared" si="2"/>
        <v>818440.7</v>
      </c>
      <c r="AB10" s="3">
        <v>4931540.6399999997</v>
      </c>
      <c r="AC10" s="3">
        <v>8112282.5199999996</v>
      </c>
      <c r="AD10" s="3">
        <f t="shared" si="4"/>
        <v>13347761.17</v>
      </c>
      <c r="AE10" s="5">
        <f t="shared" si="5"/>
        <v>0.68210311476971586</v>
      </c>
      <c r="AF10" s="5">
        <f t="shared" si="6"/>
        <v>0.11275516086180327</v>
      </c>
      <c r="AG10" s="5">
        <f t="shared" si="7"/>
        <v>8.3635218440158171E-2</v>
      </c>
      <c r="AH10" s="5">
        <f t="shared" si="8"/>
        <v>7.9435020337571868E-2</v>
      </c>
      <c r="AI10" s="7">
        <f t="shared" si="9"/>
        <v>8416220.5300000012</v>
      </c>
    </row>
    <row r="11" spans="1:35" x14ac:dyDescent="0.4">
      <c r="A11" s="1">
        <v>2020</v>
      </c>
      <c r="B11" s="2" t="s">
        <v>34</v>
      </c>
      <c r="C11" s="13">
        <f t="shared" si="3"/>
        <v>0.31974427793847993</v>
      </c>
      <c r="D11" s="3">
        <v>14176261.68</v>
      </c>
      <c r="E11" s="3">
        <v>-3782991.66</v>
      </c>
      <c r="F11" s="3">
        <f t="shared" si="10"/>
        <v>10393270.02</v>
      </c>
      <c r="G11" s="3">
        <v>104757.77</v>
      </c>
      <c r="H11" s="3">
        <f>-1417476.89-6714546.5-43098+1332.54+30883.6</f>
        <v>-8142905.25</v>
      </c>
      <c r="I11" s="3">
        <v>-96267.33</v>
      </c>
      <c r="J11" s="3">
        <f t="shared" si="0"/>
        <v>2258855.209999999</v>
      </c>
      <c r="K11" s="3">
        <f>1478.35-84446.22</f>
        <v>-82967.87</v>
      </c>
      <c r="L11" s="3">
        <f t="shared" si="11"/>
        <v>2175887.3399999989</v>
      </c>
      <c r="M11" s="3">
        <v>0</v>
      </c>
      <c r="N11" s="3">
        <v>-544444.27</v>
      </c>
      <c r="O11" s="3">
        <f t="shared" si="1"/>
        <v>1631443.0699999989</v>
      </c>
      <c r="P11" s="3">
        <v>848630.18</v>
      </c>
      <c r="Q11" s="3">
        <v>4232389.9400000004</v>
      </c>
      <c r="R11" s="3">
        <f>7121981.15+396.92+480914+309253</f>
        <v>7912545.0700000003</v>
      </c>
      <c r="S11" s="3">
        <v>850458.15</v>
      </c>
      <c r="T11" s="3">
        <f t="shared" si="12"/>
        <v>12995393.160000002</v>
      </c>
      <c r="U11" s="3">
        <v>13844023.380000001</v>
      </c>
      <c r="V11" s="3">
        <f t="shared" si="13"/>
        <v>3755990.45</v>
      </c>
      <c r="W11" s="3">
        <f>342412.66+96297.37+91269.98</f>
        <v>529980.01</v>
      </c>
      <c r="X11" s="3">
        <v>4304348.34</v>
      </c>
      <c r="Y11" s="3">
        <v>0</v>
      </c>
      <c r="Z11" s="3">
        <v>18377.88</v>
      </c>
      <c r="AA11" s="3">
        <f t="shared" si="2"/>
        <v>18377.88</v>
      </c>
      <c r="AB11" s="3">
        <v>4304348.34</v>
      </c>
      <c r="AC11" s="3">
        <v>9243735.5700000003</v>
      </c>
      <c r="AD11" s="3">
        <f t="shared" si="4"/>
        <v>13844023.380000001</v>
      </c>
      <c r="AE11" s="5">
        <f t="shared" si="5"/>
        <v>0.73314603346119944</v>
      </c>
      <c r="AF11" s="5">
        <f t="shared" si="6"/>
        <v>0.15348809080392195</v>
      </c>
      <c r="AG11" s="5">
        <f t="shared" si="7"/>
        <v>0.11508274232138743</v>
      </c>
      <c r="AH11" s="5">
        <f t="shared" si="8"/>
        <v>0.11784457633587143</v>
      </c>
      <c r="AI11" s="7">
        <f t="shared" si="9"/>
        <v>9539675.040000001</v>
      </c>
    </row>
    <row r="12" spans="1:35" x14ac:dyDescent="0.4">
      <c r="A12" s="1">
        <v>2011</v>
      </c>
      <c r="B12" s="2" t="s">
        <v>35</v>
      </c>
      <c r="C12" s="13">
        <f t="shared" si="3"/>
        <v>0.37893421112445719</v>
      </c>
      <c r="D12" s="3">
        <v>12245097.220000001</v>
      </c>
      <c r="E12" s="3">
        <v>-5638556.2000000002</v>
      </c>
      <c r="F12" s="3">
        <f t="shared" si="10"/>
        <v>6606541.0200000005</v>
      </c>
      <c r="G12" s="3">
        <v>16857.650000000001</v>
      </c>
      <c r="H12" s="3">
        <f>-5810859.48</f>
        <v>-5810859.4800000004</v>
      </c>
      <c r="I12" s="3">
        <v>0</v>
      </c>
      <c r="J12" s="3">
        <f t="shared" si="0"/>
        <v>812539.19000000041</v>
      </c>
      <c r="K12" s="3">
        <v>-258604.91</v>
      </c>
      <c r="L12" s="3">
        <f t="shared" si="11"/>
        <v>553934.28000000038</v>
      </c>
      <c r="M12" s="3">
        <v>-40977.82</v>
      </c>
      <c r="N12" s="3">
        <v>0</v>
      </c>
      <c r="O12" s="3">
        <f t="shared" ref="O12:O21" si="14">N12+M12+L12</f>
        <v>512956.46000000037</v>
      </c>
      <c r="P12" s="3">
        <v>6070981.0199999996</v>
      </c>
      <c r="Q12" s="3">
        <v>8250441.5</v>
      </c>
      <c r="R12" s="3">
        <v>9769531.2200000007</v>
      </c>
      <c r="S12" s="3">
        <v>183062.05</v>
      </c>
      <c r="T12" s="3">
        <f t="shared" si="12"/>
        <v>18203034.77</v>
      </c>
      <c r="U12" s="3">
        <v>26796189.899999999</v>
      </c>
      <c r="V12" s="3">
        <f t="shared" si="13"/>
        <v>3897157.1100000003</v>
      </c>
      <c r="W12" s="3">
        <f>182532.49+163753.81</f>
        <v>346286.3</v>
      </c>
      <c r="X12" s="3">
        <v>6457645.0700000003</v>
      </c>
      <c r="Y12" s="3">
        <v>2968569.98</v>
      </c>
      <c r="Z12" s="3">
        <v>2214201.66</v>
      </c>
      <c r="AA12" s="3">
        <f t="shared" ref="AA12:AA31" si="15">Y12+Z12</f>
        <v>5182771.6400000006</v>
      </c>
      <c r="AB12" s="3">
        <v>9426215.0500000007</v>
      </c>
      <c r="AC12" s="3">
        <v>16763155.970000001</v>
      </c>
      <c r="AD12" s="3">
        <f t="shared" si="4"/>
        <v>26796189.899999999</v>
      </c>
      <c r="AE12" s="5">
        <f t="shared" si="5"/>
        <v>0.53952540362109103</v>
      </c>
      <c r="AF12" s="5">
        <f t="shared" si="6"/>
        <v>4.5237230056063234E-2</v>
      </c>
      <c r="AG12" s="5">
        <f t="shared" si="7"/>
        <v>4.1890762546350803E-2</v>
      </c>
      <c r="AH12" s="5">
        <f t="shared" si="8"/>
        <v>1.9142887922286311E-2</v>
      </c>
      <c r="AI12" s="7">
        <f t="shared" si="9"/>
        <v>20338544.829999998</v>
      </c>
    </row>
    <row r="13" spans="1:35" x14ac:dyDescent="0.4">
      <c r="A13" s="1">
        <v>2012</v>
      </c>
      <c r="B13" s="2" t="s">
        <v>35</v>
      </c>
      <c r="C13" s="13">
        <f t="shared" si="3"/>
        <v>0.41871704953810851</v>
      </c>
      <c r="D13" s="3">
        <v>12739443.32</v>
      </c>
      <c r="E13" s="3">
        <v>-6132039.6799999997</v>
      </c>
      <c r="F13" s="3">
        <f t="shared" si="10"/>
        <v>6607403.6400000006</v>
      </c>
      <c r="G13" s="3">
        <v>56971.92</v>
      </c>
      <c r="H13" s="3">
        <v>-5514849.3600000003</v>
      </c>
      <c r="I13" s="3">
        <v>0</v>
      </c>
      <c r="J13" s="3">
        <f t="shared" si="0"/>
        <v>1149526.2000000002</v>
      </c>
      <c r="K13" s="3">
        <v>-218955.79</v>
      </c>
      <c r="L13" s="3">
        <f t="shared" si="11"/>
        <v>930570.41000000015</v>
      </c>
      <c r="M13" s="3">
        <v>-195837.95</v>
      </c>
      <c r="N13" s="3">
        <v>0</v>
      </c>
      <c r="O13" s="3">
        <f t="shared" si="14"/>
        <v>734732.4600000002</v>
      </c>
      <c r="P13" s="3">
        <v>5772423.0199999996</v>
      </c>
      <c r="Q13" s="3">
        <v>8008662.75</v>
      </c>
      <c r="R13" s="3">
        <v>9713014.6799999997</v>
      </c>
      <c r="S13" s="3">
        <v>632032.59</v>
      </c>
      <c r="T13" s="3">
        <f t="shared" si="12"/>
        <v>18353710.02</v>
      </c>
      <c r="U13" s="3">
        <v>26340752.530000001</v>
      </c>
      <c r="V13" s="3">
        <f t="shared" si="13"/>
        <v>4582296.76</v>
      </c>
      <c r="W13" s="3">
        <f>359049.66+152747.96</f>
        <v>511797.62</v>
      </c>
      <c r="X13" s="3">
        <v>5751320.5899999999</v>
      </c>
      <c r="Y13" s="3">
        <v>2953529.98</v>
      </c>
      <c r="Z13" s="3">
        <v>657226.21</v>
      </c>
      <c r="AA13" s="3">
        <f t="shared" si="15"/>
        <v>3610756.19</v>
      </c>
      <c r="AB13" s="3">
        <v>8704850.5700000003</v>
      </c>
      <c r="AC13" s="3">
        <v>16657730.24</v>
      </c>
      <c r="AD13" s="3">
        <f t="shared" si="4"/>
        <v>26340752.530000001</v>
      </c>
      <c r="AE13" s="5">
        <f t="shared" si="5"/>
        <v>0.51865717159138791</v>
      </c>
      <c r="AF13" s="5">
        <f t="shared" si="6"/>
        <v>7.3046395091618505E-2</v>
      </c>
      <c r="AG13" s="5">
        <f t="shared" si="7"/>
        <v>5.7673827776016214E-2</v>
      </c>
      <c r="AH13" s="5">
        <f t="shared" si="8"/>
        <v>2.7893373933155437E-2</v>
      </c>
      <c r="AI13" s="7">
        <f t="shared" si="9"/>
        <v>20589431.940000001</v>
      </c>
    </row>
    <row r="14" spans="1:35" x14ac:dyDescent="0.4">
      <c r="A14" s="1">
        <v>2013</v>
      </c>
      <c r="B14" s="2" t="s">
        <v>35</v>
      </c>
      <c r="C14" s="13">
        <f t="shared" si="3"/>
        <v>0.31134573638737084</v>
      </c>
      <c r="D14" s="3">
        <v>12941590.9</v>
      </c>
      <c r="E14" s="3">
        <v>-6441998.46</v>
      </c>
      <c r="F14" s="3">
        <f t="shared" si="10"/>
        <v>6499592.4400000004</v>
      </c>
      <c r="G14" s="3">
        <v>20823.29</v>
      </c>
      <c r="H14" s="3">
        <v>-5510819.0599999996</v>
      </c>
      <c r="I14" s="3">
        <v>0</v>
      </c>
      <c r="J14" s="3">
        <f t="shared" si="0"/>
        <v>1009596.6700000009</v>
      </c>
      <c r="K14" s="3">
        <v>-225003.22</v>
      </c>
      <c r="L14" s="3">
        <f t="shared" si="11"/>
        <v>784593.45000000088</v>
      </c>
      <c r="M14" s="3">
        <v>2784.16</v>
      </c>
      <c r="N14" s="3">
        <v>0</v>
      </c>
      <c r="O14" s="3">
        <f t="shared" si="14"/>
        <v>787377.61000000092</v>
      </c>
      <c r="P14" s="3">
        <v>5559235.9000000004</v>
      </c>
      <c r="Q14" s="3">
        <v>6859785.7699999996</v>
      </c>
      <c r="R14" s="3">
        <v>9293377.3059999999</v>
      </c>
      <c r="S14" s="3">
        <f>100000+484360.4</f>
        <v>584360.4</v>
      </c>
      <c r="T14" s="3">
        <f t="shared" si="12"/>
        <v>16737523.476</v>
      </c>
      <c r="U14" s="3">
        <v>24394058.059999999</v>
      </c>
      <c r="V14" s="3">
        <f t="shared" si="13"/>
        <v>3565703.03</v>
      </c>
      <c r="W14" s="3">
        <f>439498.72+157190.89</f>
        <v>596689.61</v>
      </c>
      <c r="X14" s="3">
        <v>4693066.47</v>
      </c>
      <c r="Y14" s="3">
        <v>2158489.98</v>
      </c>
      <c r="Z14" s="3">
        <v>530673.82999999996</v>
      </c>
      <c r="AA14" s="3">
        <f t="shared" si="15"/>
        <v>2689163.81</v>
      </c>
      <c r="AB14" s="3">
        <v>6851556.4500000002</v>
      </c>
      <c r="AC14" s="3">
        <v>16622089.289999999</v>
      </c>
      <c r="AD14" s="3">
        <f t="shared" si="4"/>
        <v>24394058.059999999</v>
      </c>
      <c r="AE14" s="5">
        <f t="shared" si="5"/>
        <v>0.50222515069611728</v>
      </c>
      <c r="AF14" s="5">
        <f t="shared" si="6"/>
        <v>6.0625734197794871E-2</v>
      </c>
      <c r="AG14" s="5">
        <f t="shared" si="7"/>
        <v>6.0840866944727859E-2</v>
      </c>
      <c r="AH14" s="5">
        <f t="shared" si="8"/>
        <v>3.2277434449953138E-2</v>
      </c>
      <c r="AI14" s="7">
        <f t="shared" si="9"/>
        <v>19700991.59</v>
      </c>
    </row>
    <row r="15" spans="1:35" x14ac:dyDescent="0.4">
      <c r="A15" s="1">
        <v>2014</v>
      </c>
      <c r="B15" s="2" t="s">
        <v>35</v>
      </c>
      <c r="C15" s="13">
        <f t="shared" si="3"/>
        <v>0.2762097130452591</v>
      </c>
      <c r="D15" s="3">
        <v>12383322.289999999</v>
      </c>
      <c r="E15" s="3">
        <v>-5633078.3200000003</v>
      </c>
      <c r="F15" s="3">
        <f t="shared" si="10"/>
        <v>6750243.9699999988</v>
      </c>
      <c r="G15" s="3">
        <v>169717.42</v>
      </c>
      <c r="H15" s="3">
        <v>-5635065.7400000002</v>
      </c>
      <c r="I15" s="3">
        <v>0</v>
      </c>
      <c r="J15" s="3">
        <f t="shared" si="0"/>
        <v>1284895.6499999985</v>
      </c>
      <c r="K15" s="3">
        <v>-163020.99</v>
      </c>
      <c r="L15" s="3">
        <f t="shared" si="11"/>
        <v>1121874.6599999985</v>
      </c>
      <c r="M15" s="3">
        <v>-250991.21</v>
      </c>
      <c r="N15" s="3">
        <v>0</v>
      </c>
      <c r="O15" s="3">
        <f t="shared" si="14"/>
        <v>870883.44999999856</v>
      </c>
      <c r="P15" s="3">
        <v>5376675.2199999997</v>
      </c>
      <c r="Q15" s="3">
        <v>6908569.25</v>
      </c>
      <c r="R15" s="3">
        <v>9282286.8599999994</v>
      </c>
      <c r="S15" s="3">
        <f>100047.09+321116.63</f>
        <v>421163.72</v>
      </c>
      <c r="T15" s="3">
        <f t="shared" si="12"/>
        <v>16612019.83</v>
      </c>
      <c r="U15" s="3">
        <v>24047477.120000001</v>
      </c>
      <c r="V15" s="3">
        <f t="shared" si="13"/>
        <v>3696166.6500000004</v>
      </c>
      <c r="W15" s="3">
        <f>380731.25+149500.55</f>
        <v>530231.80000000005</v>
      </c>
      <c r="X15" s="3">
        <v>5028924.75</v>
      </c>
      <c r="Y15" s="3">
        <v>1448449.98</v>
      </c>
      <c r="Z15" s="3">
        <v>802526.3</v>
      </c>
      <c r="AA15" s="3">
        <f t="shared" si="15"/>
        <v>2250976.2800000003</v>
      </c>
      <c r="AB15" s="3">
        <v>6477374.7300000004</v>
      </c>
      <c r="AC15" s="3">
        <v>16686347.23</v>
      </c>
      <c r="AD15" s="3">
        <f t="shared" si="4"/>
        <v>24047477.120000001</v>
      </c>
      <c r="AE15" s="5">
        <f t="shared" si="5"/>
        <v>0.5451076707783884</v>
      </c>
      <c r="AF15" s="5">
        <f t="shared" si="6"/>
        <v>9.0595611882439225E-2</v>
      </c>
      <c r="AG15" s="5">
        <f t="shared" si="7"/>
        <v>7.0327124628200136E-2</v>
      </c>
      <c r="AH15" s="5">
        <f t="shared" si="8"/>
        <v>3.6215169086311144E-2</v>
      </c>
      <c r="AI15" s="7">
        <f t="shared" si="9"/>
        <v>19018552.370000001</v>
      </c>
    </row>
    <row r="16" spans="1:35" x14ac:dyDescent="0.4">
      <c r="A16" s="1">
        <v>2015</v>
      </c>
      <c r="B16" s="2" t="s">
        <v>35</v>
      </c>
      <c r="C16" s="13">
        <f t="shared" si="3"/>
        <v>0.31019318077965835</v>
      </c>
      <c r="D16" s="3">
        <v>12491994.99</v>
      </c>
      <c r="E16" s="3">
        <v>-5922690.7699999996</v>
      </c>
      <c r="F16" s="3">
        <f t="shared" si="10"/>
        <v>6569304.2200000007</v>
      </c>
      <c r="G16" s="3">
        <v>172443.63</v>
      </c>
      <c r="H16" s="3">
        <f>-3833194.24-1565670.88-92730.94+31346.08</f>
        <v>-5460249.9800000004</v>
      </c>
      <c r="I16" s="3">
        <v>-81002.03</v>
      </c>
      <c r="J16" s="3">
        <f t="shared" si="0"/>
        <v>1200495.8400000001</v>
      </c>
      <c r="K16" s="3">
        <f>3194.77-182377.48</f>
        <v>-179182.71000000002</v>
      </c>
      <c r="L16" s="3">
        <f t="shared" si="11"/>
        <v>1021313.1300000001</v>
      </c>
      <c r="M16" s="3">
        <v>0</v>
      </c>
      <c r="N16" s="3">
        <v>-346462.89</v>
      </c>
      <c r="O16" s="3">
        <f t="shared" si="14"/>
        <v>674850.24000000011</v>
      </c>
      <c r="P16" s="3">
        <v>5187562.0199999996</v>
      </c>
      <c r="Q16" s="3">
        <v>7177113.6799999997</v>
      </c>
      <c r="R16" s="3">
        <f>8341878.79+935411.08+20905.36+2063715.91</f>
        <v>11361911.139999999</v>
      </c>
      <c r="S16" s="3">
        <v>201857</v>
      </c>
      <c r="T16" s="3">
        <f t="shared" si="12"/>
        <v>18740881.82</v>
      </c>
      <c r="U16" s="3">
        <v>23928443.93</v>
      </c>
      <c r="V16" s="3">
        <f t="shared" si="13"/>
        <v>3522565.7600000007</v>
      </c>
      <c r="W16" s="3">
        <f>346462.89+118851+137737.5</f>
        <v>603051.39</v>
      </c>
      <c r="X16" s="3">
        <v>5828818.7800000003</v>
      </c>
      <c r="Y16" s="3">
        <v>738427.69</v>
      </c>
      <c r="Z16" s="3">
        <f>993161.63+710040</f>
        <v>1703201.63</v>
      </c>
      <c r="AA16" s="3">
        <f t="shared" si="15"/>
        <v>2441629.3199999998</v>
      </c>
      <c r="AB16" s="3">
        <v>6567246.4699999997</v>
      </c>
      <c r="AC16" s="3">
        <f t="shared" ref="AC16:AC21" si="16">AD16-AB16</f>
        <v>17361197.460000001</v>
      </c>
      <c r="AD16" s="3">
        <f t="shared" si="4"/>
        <v>23928443.93</v>
      </c>
      <c r="AE16" s="5">
        <f t="shared" si="5"/>
        <v>0.52588111228501222</v>
      </c>
      <c r="AF16" s="5">
        <f t="shared" si="6"/>
        <v>8.1757407909431132E-2</v>
      </c>
      <c r="AG16" s="5">
        <f t="shared" si="7"/>
        <v>5.4022615326072915E-2</v>
      </c>
      <c r="AH16" s="5">
        <f t="shared" si="8"/>
        <v>2.8202846870201814E-2</v>
      </c>
      <c r="AI16" s="7">
        <f t="shared" si="9"/>
        <v>18099625.149999999</v>
      </c>
    </row>
    <row r="17" spans="1:35" x14ac:dyDescent="0.4">
      <c r="A17" s="1">
        <v>2016</v>
      </c>
      <c r="B17" s="2" t="s">
        <v>35</v>
      </c>
      <c r="C17" s="13">
        <f t="shared" si="3"/>
        <v>0.29571270975577868</v>
      </c>
      <c r="D17" s="3">
        <v>12573235.050000001</v>
      </c>
      <c r="E17" s="3">
        <v>-5973570.0499999998</v>
      </c>
      <c r="F17" s="3">
        <f t="shared" si="10"/>
        <v>6599665.0000000009</v>
      </c>
      <c r="G17" s="3">
        <v>172111.44</v>
      </c>
      <c r="H17" s="3">
        <f>-3887514.25-1587857.94-300688.75</f>
        <v>-5776060.9399999995</v>
      </c>
      <c r="I17" s="3">
        <v>0</v>
      </c>
      <c r="J17" s="3">
        <f>F17+G17+H17+I17+M17</f>
        <v>1028836.4100000019</v>
      </c>
      <c r="K17" s="3">
        <f>2364.77-189812.5</f>
        <v>-187447.73</v>
      </c>
      <c r="L17" s="3">
        <f t="shared" si="11"/>
        <v>841388.68000000191</v>
      </c>
      <c r="M17" s="3">
        <f>-1442.51+34563.42</f>
        <v>33120.909999999996</v>
      </c>
      <c r="N17" s="3">
        <v>-274240.71999999997</v>
      </c>
      <c r="O17" s="3">
        <f t="shared" si="14"/>
        <v>600268.87000000197</v>
      </c>
      <c r="P17" s="3">
        <v>5044563.1900000004</v>
      </c>
      <c r="Q17" s="3">
        <v>7712712.0999999996</v>
      </c>
      <c r="R17" s="3">
        <f>8765056.82+940949.15+20905.36+2110009.02</f>
        <v>11836920.35</v>
      </c>
      <c r="S17" s="3">
        <v>205111.66</v>
      </c>
      <c r="T17" s="3">
        <f t="shared" si="12"/>
        <v>19754744.109999999</v>
      </c>
      <c r="U17" s="3">
        <v>24799307.300000001</v>
      </c>
      <c r="V17" s="3">
        <f t="shared" si="13"/>
        <v>4456509.6300000008</v>
      </c>
      <c r="W17" s="3">
        <f>274240.72+108339.66+149172.28</f>
        <v>531752.66</v>
      </c>
      <c r="X17" s="3">
        <v>7322129.4400000004</v>
      </c>
      <c r="Y17" s="3">
        <v>103370.07</v>
      </c>
      <c r="Z17" s="3">
        <f>1698827.15+635040</f>
        <v>2333867.15</v>
      </c>
      <c r="AA17" s="3">
        <f t="shared" si="15"/>
        <v>2437237.2199999997</v>
      </c>
      <c r="AB17" s="3">
        <v>7440961.8799999999</v>
      </c>
      <c r="AC17" s="3">
        <f t="shared" si="16"/>
        <v>17358345.420000002</v>
      </c>
      <c r="AD17" s="3">
        <f t="shared" si="4"/>
        <v>24799307.300000001</v>
      </c>
      <c r="AE17" s="5">
        <f t="shared" si="5"/>
        <v>0.52489792593195816</v>
      </c>
      <c r="AF17" s="5">
        <f t="shared" si="6"/>
        <v>6.6919028925654406E-2</v>
      </c>
      <c r="AG17" s="5">
        <f t="shared" si="7"/>
        <v>4.7741799752642179E-2</v>
      </c>
      <c r="AH17" s="5">
        <f t="shared" si="8"/>
        <v>2.420506600198474E-2</v>
      </c>
      <c r="AI17" s="7">
        <f t="shared" si="9"/>
        <v>17477177.859999999</v>
      </c>
    </row>
    <row r="18" spans="1:35" x14ac:dyDescent="0.4">
      <c r="A18" s="1">
        <v>2017</v>
      </c>
      <c r="B18" s="2" t="s">
        <v>35</v>
      </c>
      <c r="C18" s="13">
        <f t="shared" si="3"/>
        <v>0.30462342235725487</v>
      </c>
      <c r="D18" s="3">
        <v>12573038.640000001</v>
      </c>
      <c r="E18" s="3">
        <v>-5971864.1200000001</v>
      </c>
      <c r="F18" s="3">
        <f t="shared" si="10"/>
        <v>6601174.5200000005</v>
      </c>
      <c r="G18" s="3">
        <v>178646.5</v>
      </c>
      <c r="H18" s="3">
        <f>-3915315.89-1599213.52-36626.75+12022.84</f>
        <v>-5539133.3200000003</v>
      </c>
      <c r="I18" s="3">
        <v>-38074.19</v>
      </c>
      <c r="J18" s="3">
        <f>F18+G18+H18+I18+M18</f>
        <v>1202613.5100000002</v>
      </c>
      <c r="K18" s="3">
        <f>-242573.52+2912.04</f>
        <v>-239661.47999999998</v>
      </c>
      <c r="L18" s="3">
        <f t="shared" si="11"/>
        <v>962952.03000000026</v>
      </c>
      <c r="M18" s="3">
        <v>0</v>
      </c>
      <c r="N18" s="3">
        <v>-329569.3</v>
      </c>
      <c r="O18" s="3">
        <f t="shared" si="14"/>
        <v>633382.73000000021</v>
      </c>
      <c r="P18" s="3">
        <v>4803577.47</v>
      </c>
      <c r="Q18" s="3">
        <v>8175863.1900000004</v>
      </c>
      <c r="R18" s="3">
        <f>9282012.88+971685.25+2166712.65</f>
        <v>12420410.780000001</v>
      </c>
      <c r="S18" s="3">
        <v>99771.6</v>
      </c>
      <c r="T18" s="3">
        <f t="shared" si="12"/>
        <v>20696045.570000004</v>
      </c>
      <c r="U18" s="3">
        <v>25499623.039999999</v>
      </c>
      <c r="V18" s="3">
        <f t="shared" si="13"/>
        <v>4167968.62</v>
      </c>
      <c r="W18" s="3">
        <f>329569.3+104046.78+153580.49</f>
        <v>587196.56999999995</v>
      </c>
      <c r="X18" s="3">
        <v>7324430.8300000001</v>
      </c>
      <c r="Y18" s="3">
        <v>743055.54</v>
      </c>
      <c r="Z18" s="3">
        <f>1906783.38+662482.26</f>
        <v>2569265.6399999997</v>
      </c>
      <c r="AA18" s="3">
        <f t="shared" si="15"/>
        <v>3312321.1799999997</v>
      </c>
      <c r="AB18" s="3">
        <v>8077894.8700000001</v>
      </c>
      <c r="AC18" s="3">
        <f t="shared" si="16"/>
        <v>17421728.169999998</v>
      </c>
      <c r="AD18" s="3">
        <f t="shared" si="4"/>
        <v>25499623.039999999</v>
      </c>
      <c r="AE18" s="5">
        <f t="shared" si="5"/>
        <v>0.52502618571448212</v>
      </c>
      <c r="AF18" s="5">
        <f t="shared" si="6"/>
        <v>7.6588647945171687E-2</v>
      </c>
      <c r="AG18" s="5">
        <f t="shared" si="7"/>
        <v>5.037626528760912E-2</v>
      </c>
      <c r="AH18" s="5">
        <f t="shared" si="8"/>
        <v>2.4838905618582832E-2</v>
      </c>
      <c r="AI18" s="7">
        <f t="shared" si="9"/>
        <v>18175192.210000001</v>
      </c>
    </row>
    <row r="19" spans="1:35" x14ac:dyDescent="0.4">
      <c r="A19" s="1">
        <v>2018</v>
      </c>
      <c r="B19" s="2" t="s">
        <v>35</v>
      </c>
      <c r="C19" s="13">
        <f t="shared" si="3"/>
        <v>0.33067203490991454</v>
      </c>
      <c r="D19" s="3">
        <v>11850993.470000001</v>
      </c>
      <c r="E19" s="3">
        <v>-5583408.9699999997</v>
      </c>
      <c r="F19" s="3">
        <f t="shared" si="10"/>
        <v>6267584.5000000009</v>
      </c>
      <c r="G19" s="3">
        <v>179590.6</v>
      </c>
      <c r="H19" s="3">
        <f>-3868040.9-1579904.03-25887.86+10856.4</f>
        <v>-5462976.3899999997</v>
      </c>
      <c r="I19" s="3">
        <v>0</v>
      </c>
      <c r="J19" s="3">
        <f>F19+G19+H19+I19+M19</f>
        <v>984198.71000000089</v>
      </c>
      <c r="K19" s="3">
        <f>-230227.24+3086.28</f>
        <v>-227140.96</v>
      </c>
      <c r="L19" s="3">
        <f t="shared" si="11"/>
        <v>757057.75000000093</v>
      </c>
      <c r="M19" s="3">
        <v>0</v>
      </c>
      <c r="N19" s="3">
        <v>-312088.69</v>
      </c>
      <c r="O19" s="3">
        <f t="shared" si="14"/>
        <v>444969.06000000093</v>
      </c>
      <c r="P19" s="3">
        <v>4630478.95</v>
      </c>
      <c r="Q19" s="3">
        <v>8869683</v>
      </c>
      <c r="R19" s="3">
        <f>8250941.34+982965.25+2126404.57</f>
        <v>11360311.16</v>
      </c>
      <c r="S19" s="3">
        <v>215675.51999999999</v>
      </c>
      <c r="T19" s="3">
        <f t="shared" si="12"/>
        <v>20445669.68</v>
      </c>
      <c r="U19" s="3">
        <v>25076148.629999999</v>
      </c>
      <c r="V19" s="3">
        <f t="shared" si="13"/>
        <v>3954326.69</v>
      </c>
      <c r="W19" s="3">
        <f>258581.45+152584.42+147021.04</f>
        <v>558186.91</v>
      </c>
      <c r="X19" s="3">
        <v>6928631.6299999999</v>
      </c>
      <c r="Y19" s="3">
        <v>804716.99</v>
      </c>
      <c r="Z19" s="3">
        <f>1664146.65+751971.38</f>
        <v>2416118.0299999998</v>
      </c>
      <c r="AA19" s="3">
        <f t="shared" si="15"/>
        <v>3220835.0199999996</v>
      </c>
      <c r="AB19" s="3">
        <v>7739325.8899999997</v>
      </c>
      <c r="AC19" s="3">
        <f t="shared" si="16"/>
        <v>17336822.739999998</v>
      </c>
      <c r="AD19" s="3">
        <f t="shared" si="4"/>
        <v>25076148.629999999</v>
      </c>
      <c r="AE19" s="5">
        <f t="shared" si="5"/>
        <v>0.52886574580147838</v>
      </c>
      <c r="AF19" s="5">
        <f t="shared" si="6"/>
        <v>6.3881374326670765E-2</v>
      </c>
      <c r="AG19" s="5">
        <f t="shared" si="7"/>
        <v>3.7546983814176461E-2</v>
      </c>
      <c r="AH19" s="5">
        <f t="shared" si="8"/>
        <v>1.7744712976683331E-2</v>
      </c>
      <c r="AI19" s="7">
        <f t="shared" si="9"/>
        <v>18147517</v>
      </c>
    </row>
    <row r="20" spans="1:35" x14ac:dyDescent="0.4">
      <c r="A20" s="1">
        <v>2019</v>
      </c>
      <c r="B20" s="2" t="s">
        <v>35</v>
      </c>
      <c r="C20" s="13">
        <f t="shared" si="3"/>
        <v>0.28669201027259067</v>
      </c>
      <c r="D20" s="3">
        <v>12202050.1</v>
      </c>
      <c r="E20" s="3">
        <v>-5463658.3200000003</v>
      </c>
      <c r="F20" s="3">
        <f t="shared" si="10"/>
        <v>6738391.7799999993</v>
      </c>
      <c r="G20" s="3">
        <v>178807.94</v>
      </c>
      <c r="H20" s="3">
        <f>-3757365.71-1534698.67-154974.39+3987.32</f>
        <v>-5443051.4499999993</v>
      </c>
      <c r="I20" s="3">
        <v>-310114.13</v>
      </c>
      <c r="J20" s="3">
        <f>F20+G20+H20+I20+M20</f>
        <v>1164034.1400000006</v>
      </c>
      <c r="K20" s="3">
        <f>3184.93-205546.9</f>
        <v>-202361.97</v>
      </c>
      <c r="L20" s="3">
        <f t="shared" si="11"/>
        <v>961672.17000000062</v>
      </c>
      <c r="M20" s="3">
        <v>0</v>
      </c>
      <c r="N20" s="3">
        <v>-294897.78999999998</v>
      </c>
      <c r="O20" s="3">
        <f t="shared" si="14"/>
        <v>666774.38000000059</v>
      </c>
      <c r="P20" s="3">
        <v>5195576.7</v>
      </c>
      <c r="Q20" s="3">
        <v>8916404.3300000001</v>
      </c>
      <c r="R20" s="3">
        <f>8058944.52+956865.24+1366502.78</f>
        <v>10382312.539999999</v>
      </c>
      <c r="S20" s="3">
        <v>210678.18</v>
      </c>
      <c r="T20" s="3">
        <f t="shared" si="12"/>
        <v>19509395.049999997</v>
      </c>
      <c r="U20" s="3">
        <v>24704971.149999999</v>
      </c>
      <c r="V20" s="3">
        <f t="shared" si="13"/>
        <v>4135234.5700000003</v>
      </c>
      <c r="W20" s="3">
        <f>251932.62+81828.39+239209.71</f>
        <v>572970.72</v>
      </c>
      <c r="X20" s="3">
        <v>5457840.2999999998</v>
      </c>
      <c r="Y20" s="3">
        <v>1511232.24</v>
      </c>
      <c r="Z20" s="3">
        <f>54763.38+694871.63</f>
        <v>749635.01</v>
      </c>
      <c r="AA20" s="3">
        <f t="shared" si="15"/>
        <v>2260867.25</v>
      </c>
      <c r="AB20" s="3">
        <v>7016204.9100000001</v>
      </c>
      <c r="AC20" s="3">
        <f t="shared" si="16"/>
        <v>17688766.239999998</v>
      </c>
      <c r="AD20" s="3">
        <f t="shared" si="4"/>
        <v>24704971.149999999</v>
      </c>
      <c r="AE20" s="5">
        <f t="shared" si="5"/>
        <v>0.55223439707070199</v>
      </c>
      <c r="AF20" s="5">
        <f t="shared" si="6"/>
        <v>7.8812344001111798E-2</v>
      </c>
      <c r="AG20" s="5">
        <f t="shared" si="7"/>
        <v>5.464445519691815E-2</v>
      </c>
      <c r="AH20" s="5">
        <f t="shared" si="8"/>
        <v>2.6989482236250278E-2</v>
      </c>
      <c r="AI20" s="7">
        <f t="shared" si="9"/>
        <v>19247130.849999998</v>
      </c>
    </row>
    <row r="21" spans="1:35" x14ac:dyDescent="0.4">
      <c r="A21" s="1">
        <v>2020</v>
      </c>
      <c r="B21" s="2" t="s">
        <v>35</v>
      </c>
      <c r="C21" s="13">
        <f t="shared" si="3"/>
        <v>0.2632011959341195</v>
      </c>
      <c r="D21" s="3">
        <v>11669353.560000001</v>
      </c>
      <c r="E21" s="3">
        <v>-5735492.71</v>
      </c>
      <c r="F21" s="3">
        <f t="shared" si="10"/>
        <v>5933860.8500000006</v>
      </c>
      <c r="G21" s="3">
        <v>210462.13</v>
      </c>
      <c r="H21" s="3">
        <f>-3598135.56-1469661.02-46046.19+1135.36</f>
        <v>-5112707.41</v>
      </c>
      <c r="I21" s="3">
        <v>0</v>
      </c>
      <c r="J21" s="3">
        <f>F21+G21+H21+I21+M21</f>
        <v>1031615.5700000003</v>
      </c>
      <c r="K21" s="3">
        <f>-101110.59+2648.54</f>
        <v>-98462.05</v>
      </c>
      <c r="L21" s="3">
        <f t="shared" si="11"/>
        <v>933153.52000000025</v>
      </c>
      <c r="M21" s="3">
        <v>0</v>
      </c>
      <c r="N21" s="3">
        <v>-251932.62</v>
      </c>
      <c r="O21" s="3">
        <f t="shared" si="14"/>
        <v>681220.90000000026</v>
      </c>
      <c r="P21" s="3">
        <v>4869475.0199999996</v>
      </c>
      <c r="Q21" s="3">
        <v>9130265.3900000006</v>
      </c>
      <c r="R21" s="3">
        <f>7584778.14+932313.36+1350145.43</f>
        <v>9867236.9299999997</v>
      </c>
      <c r="S21" s="3">
        <v>825565.59</v>
      </c>
      <c r="T21" s="3">
        <f t="shared" si="12"/>
        <v>19823067.91</v>
      </c>
      <c r="U21" s="3">
        <v>24692542.93</v>
      </c>
      <c r="V21" s="3">
        <f t="shared" si="13"/>
        <v>3841336.34</v>
      </c>
      <c r="W21" s="3">
        <f>294897.79+97506.28+143393.79</f>
        <v>535797.86</v>
      </c>
      <c r="X21" s="3">
        <v>6236854.4199999999</v>
      </c>
      <c r="Y21" s="3">
        <v>965054.6</v>
      </c>
      <c r="Z21" s="3">
        <f>1057024.47+802695.75</f>
        <v>1859720.22</v>
      </c>
      <c r="AA21" s="3">
        <f t="shared" si="15"/>
        <v>2824774.82</v>
      </c>
      <c r="AB21" s="3">
        <v>7205614.6299999999</v>
      </c>
      <c r="AC21" s="3">
        <f t="shared" si="16"/>
        <v>17486928.300000001</v>
      </c>
      <c r="AD21" s="3">
        <f t="shared" si="4"/>
        <v>24692542.93</v>
      </c>
      <c r="AE21" s="5">
        <f t="shared" si="5"/>
        <v>0.50849953422784122</v>
      </c>
      <c r="AF21" s="5">
        <f t="shared" si="6"/>
        <v>7.9966170808179735E-2</v>
      </c>
      <c r="AG21" s="5">
        <f t="shared" si="7"/>
        <v>5.8376918352622119E-2</v>
      </c>
      <c r="AH21" s="5">
        <f t="shared" si="8"/>
        <v>2.7588122532829804E-2</v>
      </c>
      <c r="AI21" s="7">
        <f t="shared" si="9"/>
        <v>18455688.509999998</v>
      </c>
    </row>
    <row r="22" spans="1:35" x14ac:dyDescent="0.4">
      <c r="A22" s="1">
        <v>2011</v>
      </c>
      <c r="B22" s="2" t="s">
        <v>36</v>
      </c>
      <c r="C22" s="13">
        <f t="shared" si="3"/>
        <v>0.19833127251802538</v>
      </c>
      <c r="D22" s="3">
        <v>6408990.3799999999</v>
      </c>
      <c r="E22" s="3">
        <v>-1344034.69</v>
      </c>
      <c r="F22" s="4">
        <f t="shared" si="10"/>
        <v>5064955.6899999995</v>
      </c>
      <c r="G22" s="3">
        <v>115496.75</v>
      </c>
      <c r="H22" s="3">
        <v>-4520778.87</v>
      </c>
      <c r="J22" s="3">
        <v>659673.56999999995</v>
      </c>
      <c r="K22" s="3">
        <v>-361506.81</v>
      </c>
      <c r="L22" s="3">
        <v>298166.76</v>
      </c>
      <c r="M22" s="3">
        <v>-59241.5</v>
      </c>
      <c r="O22" s="3">
        <v>238925.26</v>
      </c>
      <c r="P22" s="3">
        <v>2024817.09</v>
      </c>
      <c r="Q22" s="3">
        <v>1385867.37</v>
      </c>
      <c r="R22" s="3">
        <v>8382348.7599999998</v>
      </c>
      <c r="S22" s="3">
        <v>389529.9</v>
      </c>
      <c r="T22" s="3">
        <v>10157476.029999999</v>
      </c>
      <c r="U22" s="3">
        <v>12541138.109999999</v>
      </c>
      <c r="V22" s="3">
        <f t="shared" si="13"/>
        <v>6226218.9399999995</v>
      </c>
      <c r="W22" s="3">
        <f>107270.87+87676.99</f>
        <v>194947.86</v>
      </c>
      <c r="X22" s="3">
        <v>6421166.7999999998</v>
      </c>
      <c r="Y22" s="3">
        <v>1272776.3700000001</v>
      </c>
      <c r="Z22" s="3">
        <v>0</v>
      </c>
      <c r="AA22" s="3">
        <f t="shared" si="15"/>
        <v>1272776.3700000001</v>
      </c>
      <c r="AB22" s="3">
        <v>7693943.1699999999</v>
      </c>
      <c r="AC22" s="3">
        <v>3487795.72</v>
      </c>
      <c r="AD22" s="3">
        <f t="shared" si="4"/>
        <v>12541138.109999999</v>
      </c>
      <c r="AE22" s="5">
        <f t="shared" si="5"/>
        <v>0.79028917032014634</v>
      </c>
      <c r="AF22" s="5">
        <f t="shared" si="6"/>
        <v>4.6523202926074606E-2</v>
      </c>
      <c r="AG22" s="5">
        <f t="shared" si="7"/>
        <v>3.7279703328248717E-2</v>
      </c>
      <c r="AH22" s="5">
        <f t="shared" si="8"/>
        <v>1.9051321969693228E-2</v>
      </c>
      <c r="AI22" s="7">
        <f t="shared" si="9"/>
        <v>6119971.3099999996</v>
      </c>
    </row>
    <row r="23" spans="1:35" x14ac:dyDescent="0.4">
      <c r="A23" s="1">
        <v>2012</v>
      </c>
      <c r="B23" s="2" t="s">
        <v>36</v>
      </c>
      <c r="C23" s="13">
        <f t="shared" si="3"/>
        <v>0.17035927533474271</v>
      </c>
      <c r="D23" s="3">
        <v>5183171.63</v>
      </c>
      <c r="E23" s="3">
        <v>-1183411.05</v>
      </c>
      <c r="F23" s="4">
        <f t="shared" si="10"/>
        <v>3999760.58</v>
      </c>
      <c r="G23" s="3">
        <v>87127.74</v>
      </c>
      <c r="H23" s="3">
        <v>-3926573</v>
      </c>
      <c r="J23" s="3">
        <v>160315.32</v>
      </c>
      <c r="K23" s="3">
        <v>-395271.11</v>
      </c>
      <c r="L23" s="3">
        <v>-234955.79</v>
      </c>
      <c r="M23" s="3">
        <v>3227.78</v>
      </c>
      <c r="O23" s="3">
        <v>-31728.01</v>
      </c>
      <c r="P23" s="3">
        <v>1963049.96</v>
      </c>
      <c r="Q23" s="3">
        <v>1390260.16</v>
      </c>
      <c r="R23" s="3">
        <v>7265906.5199999996</v>
      </c>
      <c r="S23" s="3">
        <v>266885.96999999997</v>
      </c>
      <c r="T23" s="3">
        <v>8923052.6500000004</v>
      </c>
      <c r="U23" s="3">
        <v>11449469.73</v>
      </c>
      <c r="V23" s="3">
        <f t="shared" si="13"/>
        <v>5362358.01</v>
      </c>
      <c r="W23" s="3">
        <f>49641+67057.44</f>
        <v>116698.44</v>
      </c>
      <c r="X23" s="3">
        <v>5479056.4500000002</v>
      </c>
      <c r="Y23" s="3">
        <v>1230262.92</v>
      </c>
      <c r="Z23" s="3">
        <v>0</v>
      </c>
      <c r="AA23" s="3">
        <f t="shared" si="15"/>
        <v>1230262.92</v>
      </c>
      <c r="AB23" s="3">
        <v>6709319.3700000001</v>
      </c>
      <c r="AC23" s="3">
        <v>3304056.85</v>
      </c>
      <c r="AD23" s="3">
        <f t="shared" si="4"/>
        <v>11449469.73</v>
      </c>
      <c r="AE23" s="5">
        <f t="shared" si="5"/>
        <v>0.77168206370970593</v>
      </c>
      <c r="AF23" s="5">
        <f t="shared" si="6"/>
        <v>-4.5330505484341838E-2</v>
      </c>
      <c r="AG23" s="5">
        <f t="shared" si="7"/>
        <v>-6.1213504519818497E-3</v>
      </c>
      <c r="AH23" s="5">
        <f t="shared" si="8"/>
        <v>-2.7711335763320102E-3</v>
      </c>
      <c r="AI23" s="7">
        <f t="shared" si="9"/>
        <v>5970413.2800000003</v>
      </c>
    </row>
    <row r="24" spans="1:35" x14ac:dyDescent="0.4">
      <c r="A24" s="1">
        <v>2013</v>
      </c>
      <c r="B24" s="2" t="s">
        <v>36</v>
      </c>
      <c r="C24" s="13">
        <f t="shared" si="3"/>
        <v>0.17892738747582029</v>
      </c>
      <c r="D24" s="3">
        <v>7437407.29</v>
      </c>
      <c r="E24" s="3">
        <v>-2038903.62</v>
      </c>
      <c r="F24" s="4">
        <f t="shared" si="10"/>
        <v>5398503.6699999999</v>
      </c>
      <c r="G24" s="3">
        <v>13020.6</v>
      </c>
      <c r="H24" s="3">
        <v>-4673730.41</v>
      </c>
      <c r="J24" s="3">
        <v>737793.86</v>
      </c>
      <c r="K24" s="3">
        <v>-369189.36</v>
      </c>
      <c r="L24" s="3">
        <v>368604.5</v>
      </c>
      <c r="M24" s="3">
        <v>-150775.26999999999</v>
      </c>
      <c r="O24" s="3">
        <v>217829.23</v>
      </c>
      <c r="P24" s="3">
        <v>1863694.36</v>
      </c>
      <c r="Q24" s="3">
        <v>950231.47</v>
      </c>
      <c r="R24" s="3">
        <v>7073000.1399999997</v>
      </c>
      <c r="S24" s="3">
        <v>396942.61</v>
      </c>
      <c r="T24" s="3">
        <v>8420174.2200000007</v>
      </c>
      <c r="U24" s="3">
        <v>10645939.279999999</v>
      </c>
      <c r="V24" s="3">
        <f t="shared" si="13"/>
        <v>3029252.55</v>
      </c>
      <c r="W24" s="3">
        <f>136714.92+74466.84</f>
        <v>211181.76</v>
      </c>
      <c r="X24" s="3">
        <v>5694925.2999999998</v>
      </c>
      <c r="Y24" s="3">
        <v>900000</v>
      </c>
      <c r="Z24" s="3">
        <v>2454490.9900000002</v>
      </c>
      <c r="AA24" s="3">
        <f t="shared" si="15"/>
        <v>3354490.99</v>
      </c>
      <c r="AB24" s="3">
        <v>6594925.2999999998</v>
      </c>
      <c r="AC24" s="3">
        <v>3192805.28</v>
      </c>
      <c r="AD24" s="3">
        <f t="shared" si="4"/>
        <v>10645939.279999999</v>
      </c>
      <c r="AE24" s="5">
        <f t="shared" si="5"/>
        <v>0.72585828091713933</v>
      </c>
      <c r="AF24" s="5">
        <f t="shared" si="6"/>
        <v>4.9560886694427625E-2</v>
      </c>
      <c r="AG24" s="5">
        <f t="shared" si="7"/>
        <v>2.928832878265028E-2</v>
      </c>
      <c r="AH24" s="5">
        <f t="shared" si="8"/>
        <v>2.0461250460936314E-2</v>
      </c>
      <c r="AI24" s="7">
        <f t="shared" si="9"/>
        <v>4951013.9799999995</v>
      </c>
    </row>
    <row r="25" spans="1:35" x14ac:dyDescent="0.4">
      <c r="A25" s="1">
        <v>2014</v>
      </c>
      <c r="B25" s="2" t="s">
        <v>36</v>
      </c>
      <c r="C25" s="13">
        <f t="shared" si="3"/>
        <v>0.16584618249164595</v>
      </c>
      <c r="D25" s="3">
        <v>7435389.2400000002</v>
      </c>
      <c r="E25" s="3">
        <v>-1619442.48</v>
      </c>
      <c r="F25" s="4">
        <f t="shared" si="10"/>
        <v>5815946.7599999998</v>
      </c>
      <c r="G25" s="3">
        <v>15995.91</v>
      </c>
      <c r="H25" s="3">
        <v>-4573098.09</v>
      </c>
      <c r="J25" s="3">
        <v>1258844.58</v>
      </c>
      <c r="K25" s="3">
        <v>-265843.98</v>
      </c>
      <c r="L25" s="3">
        <v>994219.25</v>
      </c>
      <c r="M25" s="3">
        <v>-670335.99</v>
      </c>
      <c r="O25" s="3">
        <v>323883.26</v>
      </c>
      <c r="P25" s="3">
        <v>1771974.33</v>
      </c>
      <c r="Q25" s="3">
        <v>1011256.52</v>
      </c>
      <c r="R25" s="3">
        <v>6705496.2599999998</v>
      </c>
      <c r="S25" s="3">
        <v>341598.25</v>
      </c>
      <c r="T25" s="3">
        <v>8058351.0300000003</v>
      </c>
      <c r="U25" s="3">
        <v>10104953.310000001</v>
      </c>
      <c r="V25" s="3">
        <f t="shared" si="13"/>
        <v>2653621.8899999992</v>
      </c>
      <c r="W25" s="3">
        <f>250827.64+75515.34</f>
        <v>326342.98</v>
      </c>
      <c r="X25" s="3">
        <v>4951319.68</v>
      </c>
      <c r="Y25" s="3">
        <v>600000</v>
      </c>
      <c r="Z25" s="3">
        <v>1971354.81</v>
      </c>
      <c r="AA25" s="3">
        <f t="shared" si="15"/>
        <v>2571354.81</v>
      </c>
      <c r="AB25" s="3">
        <v>5551319.6799999997</v>
      </c>
      <c r="AC25" s="3">
        <v>3142662.99</v>
      </c>
      <c r="AD25" s="3">
        <f t="shared" si="4"/>
        <v>10104953.310000001</v>
      </c>
      <c r="AE25" s="5">
        <f t="shared" si="5"/>
        <v>0.78219802249384318</v>
      </c>
      <c r="AF25" s="5">
        <f t="shared" si="6"/>
        <v>0.13371448594129015</v>
      </c>
      <c r="AG25" s="5">
        <f t="shared" si="7"/>
        <v>4.3559691301379669E-2</v>
      </c>
      <c r="AH25" s="5">
        <f t="shared" si="8"/>
        <v>3.2051930381457643E-2</v>
      </c>
      <c r="AI25" s="7">
        <f t="shared" si="9"/>
        <v>5153633.6300000008</v>
      </c>
    </row>
    <row r="26" spans="1:35" x14ac:dyDescent="0.4">
      <c r="A26" s="1">
        <v>2015</v>
      </c>
      <c r="B26" s="2" t="s">
        <v>36</v>
      </c>
      <c r="C26" s="13">
        <f t="shared" si="3"/>
        <v>0.1460355833402962</v>
      </c>
      <c r="D26" s="3">
        <v>5881095.6799999997</v>
      </c>
      <c r="E26" s="3">
        <v>-1411337.28</v>
      </c>
      <c r="F26" s="4">
        <f t="shared" si="10"/>
        <v>4469758.3999999994</v>
      </c>
      <c r="G26" s="3">
        <v>5049.92</v>
      </c>
      <c r="H26" s="2">
        <f>-2886436.97-1198210.27+42158.07-84634.69</f>
        <v>-4127123.8600000003</v>
      </c>
      <c r="J26" s="3">
        <v>347684.46</v>
      </c>
      <c r="K26" s="3">
        <v>-188004.08</v>
      </c>
      <c r="L26" s="3">
        <v>159680.38</v>
      </c>
      <c r="N26" s="3">
        <v>-64307.360000000001</v>
      </c>
      <c r="O26" s="3">
        <v>95373.02</v>
      </c>
      <c r="P26" s="3">
        <v>1796147.64</v>
      </c>
      <c r="Q26" s="3">
        <v>920095.31</v>
      </c>
      <c r="R26" s="2">
        <f>509546.96+4789330.7</f>
        <v>5298877.66</v>
      </c>
      <c r="S26" s="3">
        <v>183382.68</v>
      </c>
      <c r="T26" s="3">
        <v>6402355.6500000004</v>
      </c>
      <c r="U26" s="3">
        <v>8198503.29</v>
      </c>
      <c r="V26" s="3">
        <f t="shared" si="13"/>
        <v>2951638.3399999994</v>
      </c>
      <c r="W26" s="3">
        <f>64307.36+118419.5</f>
        <v>182726.86</v>
      </c>
      <c r="X26" s="3">
        <v>4395194.26</v>
      </c>
      <c r="Y26" s="3">
        <v>653041.43000000005</v>
      </c>
      <c r="Z26" s="3">
        <v>1260829.06</v>
      </c>
      <c r="AA26" s="3">
        <f t="shared" si="15"/>
        <v>1913870.4900000002</v>
      </c>
      <c r="AB26" s="3">
        <v>5408235.6900000004</v>
      </c>
      <c r="AC26" s="3">
        <v>3150267.6</v>
      </c>
      <c r="AD26" s="3">
        <f t="shared" si="4"/>
        <v>8198503.29</v>
      </c>
      <c r="AE26" s="5">
        <f t="shared" si="5"/>
        <v>0.76002137071165621</v>
      </c>
      <c r="AF26" s="5">
        <f t="shared" si="6"/>
        <v>2.7151467802679928E-2</v>
      </c>
      <c r="AG26" s="5">
        <f t="shared" si="7"/>
        <v>1.6216879505010877E-2</v>
      </c>
      <c r="AH26" s="5">
        <f t="shared" si="8"/>
        <v>1.1632979414221837E-2</v>
      </c>
      <c r="AI26" s="7">
        <f t="shared" si="9"/>
        <v>3803309.0300000003</v>
      </c>
    </row>
    <row r="27" spans="1:35" x14ac:dyDescent="0.4">
      <c r="A27" s="1">
        <v>2016</v>
      </c>
      <c r="B27" s="2" t="s">
        <v>36</v>
      </c>
      <c r="C27" s="13">
        <f t="shared" si="3"/>
        <v>0.1570912862774172</v>
      </c>
      <c r="D27" s="3">
        <v>6679272.1500000004</v>
      </c>
      <c r="E27" s="3">
        <v>-1691457.78</v>
      </c>
      <c r="F27" s="4">
        <f t="shared" si="10"/>
        <v>4987814.37</v>
      </c>
      <c r="G27" s="3">
        <v>8126.15</v>
      </c>
      <c r="H27" s="2">
        <f>-3096862.61-1210159.49+69206.01-373680.71</f>
        <v>-4611496.8</v>
      </c>
      <c r="J27" s="3">
        <v>384443.72</v>
      </c>
      <c r="K27" s="3">
        <v>-156061.94</v>
      </c>
      <c r="L27" s="3">
        <v>228381.78</v>
      </c>
      <c r="N27" s="3">
        <v>-117073.74</v>
      </c>
      <c r="O27" s="3">
        <v>111308.04</v>
      </c>
      <c r="P27" s="3">
        <v>1638808.72</v>
      </c>
      <c r="Q27" s="3">
        <v>941599.99</v>
      </c>
      <c r="R27" s="2">
        <f>4853626.08+538231.52</f>
        <v>5391857.5999999996</v>
      </c>
      <c r="S27" s="3">
        <v>513473.31</v>
      </c>
      <c r="T27" s="3">
        <v>6846930.9000000004</v>
      </c>
      <c r="U27" s="3">
        <v>8485739.6199999992</v>
      </c>
      <c r="V27" s="3">
        <f t="shared" si="13"/>
        <v>3808716.0900000008</v>
      </c>
      <c r="W27" s="3">
        <f>117073.74+106586.39</f>
        <v>223660.13</v>
      </c>
      <c r="X27" s="3">
        <v>5386298.9800000004</v>
      </c>
      <c r="Y27" s="3">
        <v>472165.24</v>
      </c>
      <c r="Z27" s="3">
        <v>1353922.76</v>
      </c>
      <c r="AA27" s="3">
        <f t="shared" si="15"/>
        <v>1826088</v>
      </c>
      <c r="AB27" s="3">
        <v>5386298.9800000004</v>
      </c>
      <c r="AC27" s="3">
        <v>2961575.64</v>
      </c>
      <c r="AD27" s="3">
        <f t="shared" si="4"/>
        <v>8485739.6199999992</v>
      </c>
      <c r="AE27" s="5">
        <f t="shared" si="5"/>
        <v>0.74676016457871086</v>
      </c>
      <c r="AF27" s="5">
        <f t="shared" si="6"/>
        <v>3.4192614834537019E-2</v>
      </c>
      <c r="AG27" s="5">
        <f t="shared" si="7"/>
        <v>1.6664696017813854E-2</v>
      </c>
      <c r="AH27" s="5">
        <f t="shared" si="8"/>
        <v>1.3117069929609742E-2</v>
      </c>
      <c r="AI27" s="7">
        <f t="shared" si="9"/>
        <v>3099440.6399999987</v>
      </c>
    </row>
    <row r="28" spans="1:35" x14ac:dyDescent="0.4">
      <c r="A28" s="1">
        <v>2017</v>
      </c>
      <c r="B28" s="2" t="s">
        <v>36</v>
      </c>
      <c r="C28" s="13">
        <f t="shared" si="3"/>
        <v>0.16715168427292931</v>
      </c>
      <c r="D28" s="3">
        <v>6899024.9299999997</v>
      </c>
      <c r="E28" s="3">
        <v>-1707856.24</v>
      </c>
      <c r="F28" s="3">
        <f t="shared" si="10"/>
        <v>5191168.6899999995</v>
      </c>
      <c r="G28" s="3">
        <v>39783.78</v>
      </c>
      <c r="H28" s="3">
        <f>-3084997.7-1195921-124634.19</f>
        <v>-4405552.8900000006</v>
      </c>
      <c r="I28" s="3">
        <v>0</v>
      </c>
      <c r="J28" s="3">
        <v>825399.57</v>
      </c>
      <c r="K28" s="3">
        <v>-150417.22</v>
      </c>
      <c r="L28" s="3">
        <v>674982.35</v>
      </c>
      <c r="M28" s="3">
        <v>0</v>
      </c>
      <c r="N28" s="3">
        <v>-176763.76</v>
      </c>
      <c r="O28" s="3">
        <v>498218.59</v>
      </c>
      <c r="P28" s="3">
        <v>1524463.52</v>
      </c>
      <c r="Q28" s="3">
        <v>924211.65</v>
      </c>
      <c r="R28" s="3">
        <v>4872000.1900000004</v>
      </c>
      <c r="S28" s="3">
        <v>510255.84</v>
      </c>
      <c r="T28" s="3">
        <v>6306467.6799999997</v>
      </c>
      <c r="U28" s="3">
        <v>7830931.2000000002</v>
      </c>
      <c r="V28" s="3">
        <f t="shared" si="13"/>
        <v>2073328.07</v>
      </c>
      <c r="W28" s="3">
        <f>176763.76+63366.76</f>
        <v>240130.52000000002</v>
      </c>
      <c r="X28" s="3">
        <v>4167589.89</v>
      </c>
      <c r="Y28" s="3">
        <v>150000</v>
      </c>
      <c r="Z28" s="3">
        <v>1854131.3</v>
      </c>
      <c r="AA28" s="3">
        <f t="shared" si="15"/>
        <v>2004131.3</v>
      </c>
      <c r="AB28" s="3">
        <v>4317589.8899999997</v>
      </c>
      <c r="AC28" s="3">
        <v>3359238.23</v>
      </c>
      <c r="AD28" s="3">
        <f t="shared" si="4"/>
        <v>7830931.2000000002</v>
      </c>
      <c r="AE28" s="5">
        <f t="shared" si="5"/>
        <v>0.75244962044223251</v>
      </c>
      <c r="AF28" s="5">
        <f t="shared" si="6"/>
        <v>9.7837354821676228E-2</v>
      </c>
      <c r="AG28" s="5">
        <f t="shared" si="7"/>
        <v>7.2215797892471165E-2</v>
      </c>
      <c r="AH28" s="5">
        <f t="shared" si="8"/>
        <v>6.3621883180380895E-2</v>
      </c>
      <c r="AI28" s="7">
        <f t="shared" si="9"/>
        <v>3663341.31</v>
      </c>
    </row>
    <row r="29" spans="1:35" x14ac:dyDescent="0.4">
      <c r="A29" s="1">
        <v>2018</v>
      </c>
      <c r="B29" s="2" t="s">
        <v>36</v>
      </c>
      <c r="C29" s="13">
        <f t="shared" si="3"/>
        <v>0.19542651020554636</v>
      </c>
      <c r="D29" s="3">
        <v>7003913.4000000004</v>
      </c>
      <c r="E29" s="3">
        <v>-1788881.53</v>
      </c>
      <c r="F29" s="3">
        <f t="shared" si="10"/>
        <v>5215031.87</v>
      </c>
      <c r="G29" s="3">
        <v>32392.560000000001</v>
      </c>
      <c r="H29" s="3">
        <f>-3248851.19-1206010.24-37079.82</f>
        <v>-4491941.25</v>
      </c>
      <c r="I29" s="3">
        <v>0</v>
      </c>
      <c r="J29" s="3">
        <v>755483.18</v>
      </c>
      <c r="K29" s="3">
        <v>-118796.97</v>
      </c>
      <c r="L29" s="3">
        <v>636686.21</v>
      </c>
      <c r="M29" s="3">
        <v>0</v>
      </c>
      <c r="N29" s="3">
        <v>-206039.18</v>
      </c>
      <c r="O29" s="3">
        <v>430647.03</v>
      </c>
      <c r="P29" s="3">
        <v>1437205.4</v>
      </c>
      <c r="Q29" s="3">
        <v>956018.32</v>
      </c>
      <c r="R29" s="3">
        <v>4778043.59</v>
      </c>
      <c r="S29" s="3">
        <v>473363.79</v>
      </c>
      <c r="T29" s="3">
        <v>6207425.7000000002</v>
      </c>
      <c r="U29" s="3">
        <v>7644631.0999999996</v>
      </c>
      <c r="V29" s="3">
        <f t="shared" si="13"/>
        <v>2032918.07</v>
      </c>
      <c r="W29" s="3">
        <f>206039.18+72233.05</f>
        <v>278272.23</v>
      </c>
      <c r="X29" s="3">
        <v>2965903.08</v>
      </c>
      <c r="Y29" s="3">
        <v>1018626.76</v>
      </c>
      <c r="Z29" s="3">
        <v>654712.78</v>
      </c>
      <c r="AA29" s="3">
        <f t="shared" si="15"/>
        <v>1673339.54</v>
      </c>
      <c r="AB29" s="3">
        <v>3984897.6</v>
      </c>
      <c r="AC29" s="3">
        <v>3488217.26</v>
      </c>
      <c r="AD29" s="3">
        <f t="shared" si="4"/>
        <v>7644631.0999999996</v>
      </c>
      <c r="AE29" s="5">
        <f t="shared" si="5"/>
        <v>0.74458828545766997</v>
      </c>
      <c r="AF29" s="5">
        <f t="shared" si="6"/>
        <v>9.0904352129767899E-2</v>
      </c>
      <c r="AG29" s="5">
        <f t="shared" si="7"/>
        <v>6.1486629746164478E-2</v>
      </c>
      <c r="AH29" s="5">
        <f t="shared" si="8"/>
        <v>5.6333265054477256E-2</v>
      </c>
      <c r="AI29" s="7">
        <f t="shared" si="9"/>
        <v>4678728.0199999996</v>
      </c>
    </row>
    <row r="30" spans="1:35" x14ac:dyDescent="0.4">
      <c r="A30" s="1">
        <v>2019</v>
      </c>
      <c r="B30" s="2" t="s">
        <v>36</v>
      </c>
      <c r="C30" s="13">
        <f t="shared" si="3"/>
        <v>0.16576841637928336</v>
      </c>
      <c r="D30" s="3">
        <v>7055357.1399999997</v>
      </c>
      <c r="E30" s="3">
        <v>-1795235.91</v>
      </c>
      <c r="F30" s="3">
        <f t="shared" si="10"/>
        <v>5260121.2299999995</v>
      </c>
      <c r="G30" s="3">
        <v>56963.99</v>
      </c>
      <c r="H30" s="3">
        <f>-3272022.28-1194758.19</f>
        <v>-4466780.47</v>
      </c>
      <c r="I30" s="3">
        <v>0</v>
      </c>
      <c r="J30" s="3">
        <v>841080.55</v>
      </c>
      <c r="K30" s="3">
        <v>-106540.73</v>
      </c>
      <c r="L30" s="3">
        <v>734539.82</v>
      </c>
      <c r="M30" s="3">
        <v>0</v>
      </c>
      <c r="N30" s="3">
        <v>-182869.85</v>
      </c>
      <c r="O30" s="3">
        <v>551669.97</v>
      </c>
      <c r="P30" s="3">
        <v>1372455.49</v>
      </c>
      <c r="Q30" s="3">
        <v>979773.54</v>
      </c>
      <c r="R30" s="3">
        <v>5013518.46</v>
      </c>
      <c r="S30" s="3">
        <v>771960.09</v>
      </c>
      <c r="T30" s="3">
        <v>6765252.0899999999</v>
      </c>
      <c r="U30" s="3">
        <v>8137707.5800000001</v>
      </c>
      <c r="V30" s="3">
        <f t="shared" si="13"/>
        <v>2536943.75</v>
      </c>
      <c r="W30" s="3">
        <f>288.11+182869.85</f>
        <v>183157.96</v>
      </c>
      <c r="X30" s="3">
        <v>3522914.46</v>
      </c>
      <c r="Y30" s="3">
        <v>990936.64</v>
      </c>
      <c r="Z30" s="3">
        <v>802812.75</v>
      </c>
      <c r="AA30" s="3">
        <f t="shared" si="15"/>
        <v>1793749.3900000001</v>
      </c>
      <c r="AB30" s="3">
        <v>4513851.0999999996</v>
      </c>
      <c r="AC30" s="3">
        <v>3439331.23</v>
      </c>
      <c r="AD30" s="3">
        <f t="shared" si="4"/>
        <v>8137707.5800000001</v>
      </c>
      <c r="AE30" s="5">
        <f t="shared" si="5"/>
        <v>0.74554995950212088</v>
      </c>
      <c r="AF30" s="5">
        <f t="shared" si="6"/>
        <v>0.10411093378045494</v>
      </c>
      <c r="AG30" s="5">
        <f t="shared" si="7"/>
        <v>7.8191643463707064E-2</v>
      </c>
      <c r="AH30" s="5">
        <f t="shared" si="8"/>
        <v>6.7791815394772387E-2</v>
      </c>
      <c r="AI30" s="7">
        <f t="shared" si="9"/>
        <v>4614793.12</v>
      </c>
    </row>
    <row r="31" spans="1:35" x14ac:dyDescent="0.4">
      <c r="A31" s="1">
        <v>2020</v>
      </c>
      <c r="B31" s="2" t="s">
        <v>36</v>
      </c>
      <c r="C31" s="13">
        <f t="shared" si="3"/>
        <v>0.18300355018943301</v>
      </c>
      <c r="D31" s="3">
        <v>8113690.8300000001</v>
      </c>
      <c r="E31" s="3">
        <v>-1919707.51</v>
      </c>
      <c r="F31" s="3">
        <f t="shared" si="10"/>
        <v>6193983.3200000003</v>
      </c>
      <c r="G31" s="3">
        <v>133524.98000000001</v>
      </c>
      <c r="H31" s="3">
        <f>-3447702.92-1221675.32-136206.8</f>
        <v>-4805585.04</v>
      </c>
      <c r="I31" s="3">
        <v>0</v>
      </c>
      <c r="J31" s="3">
        <v>1521923.26</v>
      </c>
      <c r="K31" s="3">
        <v>-99055.4</v>
      </c>
      <c r="L31" s="3">
        <v>1422867.86</v>
      </c>
      <c r="M31" s="3">
        <v>0</v>
      </c>
      <c r="N31" s="3">
        <v>-336246.2</v>
      </c>
      <c r="O31" s="3">
        <v>1086621.6599999999</v>
      </c>
      <c r="P31" s="3">
        <v>1309441.17</v>
      </c>
      <c r="Q31" s="3">
        <v>1010590.05</v>
      </c>
      <c r="R31" s="3">
        <v>5526460.9699999997</v>
      </c>
      <c r="S31" s="3">
        <v>2292786.02</v>
      </c>
      <c r="T31" s="3">
        <v>8829837.0399999991</v>
      </c>
      <c r="U31" s="3">
        <v>10139278.210000001</v>
      </c>
      <c r="V31" s="3">
        <f t="shared" si="13"/>
        <v>2822786.5300000003</v>
      </c>
      <c r="W31" s="3">
        <f>336246.2+7698.03</f>
        <v>343944.23000000004</v>
      </c>
      <c r="X31" s="3">
        <v>4283283.83</v>
      </c>
      <c r="Y31" s="3">
        <v>1925895.92</v>
      </c>
      <c r="Z31" s="3">
        <v>1116553.07</v>
      </c>
      <c r="AA31" s="3">
        <f t="shared" si="15"/>
        <v>3042448.99</v>
      </c>
      <c r="AB31" s="3">
        <v>6209179.75</v>
      </c>
      <c r="AC31" s="3">
        <v>3703184.89</v>
      </c>
      <c r="AD31" s="3">
        <f t="shared" si="4"/>
        <v>10139278.210000001</v>
      </c>
      <c r="AE31" s="5">
        <f t="shared" si="5"/>
        <v>0.76339898201420631</v>
      </c>
      <c r="AF31" s="5">
        <f t="shared" si="6"/>
        <v>0.17536629011534571</v>
      </c>
      <c r="AG31" s="5">
        <f t="shared" si="7"/>
        <v>0.1339244596284426</v>
      </c>
      <c r="AH31" s="5">
        <f t="shared" si="8"/>
        <v>0.10716952799739773</v>
      </c>
      <c r="AI31" s="7">
        <f t="shared" si="9"/>
        <v>5855994.3800000008</v>
      </c>
    </row>
    <row r="32" spans="1:35" x14ac:dyDescent="0.4">
      <c r="A32" s="1">
        <v>2011</v>
      </c>
      <c r="B32" s="2" t="s">
        <v>37</v>
      </c>
      <c r="C32" s="13">
        <f t="shared" si="3"/>
        <v>0</v>
      </c>
      <c r="D32" s="8"/>
      <c r="E32" s="8"/>
      <c r="F32" s="9">
        <f>D32+E32</f>
        <v>0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 s="8">
        <f>X32-W32-Z32</f>
        <v>0</v>
      </c>
      <c r="W32"/>
      <c r="X32"/>
      <c r="Y32"/>
      <c r="Z32"/>
      <c r="AA32" s="8">
        <f>Y32+Z32</f>
        <v>0</v>
      </c>
      <c r="AB32"/>
      <c r="AC32"/>
      <c r="AD32"/>
      <c r="AE32" s="5"/>
      <c r="AF32" s="5"/>
      <c r="AG32" s="5"/>
      <c r="AH32" s="5"/>
      <c r="AI32" s="7">
        <f t="shared" ref="AI32:AI41" si="17">U32-X32</f>
        <v>0</v>
      </c>
    </row>
    <row r="33" spans="1:35" x14ac:dyDescent="0.4">
      <c r="A33" s="1">
        <v>2012</v>
      </c>
      <c r="B33" s="2" t="s">
        <v>37</v>
      </c>
      <c r="C33" s="13">
        <f t="shared" si="3"/>
        <v>0</v>
      </c>
      <c r="D33" s="8"/>
      <c r="E33" s="8"/>
      <c r="F33" s="9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 s="8"/>
      <c r="W33"/>
      <c r="X33"/>
      <c r="Y33"/>
      <c r="Z33"/>
      <c r="AA33" s="8"/>
      <c r="AB33"/>
      <c r="AC33"/>
      <c r="AD33"/>
      <c r="AE33" s="5"/>
      <c r="AF33" s="5"/>
      <c r="AG33" s="5"/>
      <c r="AH33" s="5"/>
      <c r="AI33" s="7">
        <f t="shared" si="17"/>
        <v>0</v>
      </c>
    </row>
    <row r="34" spans="1:35" x14ac:dyDescent="0.4">
      <c r="A34" s="1">
        <v>2013</v>
      </c>
      <c r="B34" s="2" t="s">
        <v>37</v>
      </c>
      <c r="C34" s="13">
        <f t="shared" si="3"/>
        <v>3.3388753864462641E-2</v>
      </c>
      <c r="D34" s="8">
        <v>1387857.75</v>
      </c>
      <c r="E34" s="8">
        <v>-301584.82</v>
      </c>
      <c r="F34" s="9">
        <f t="shared" ref="F34:F41" si="18">D34+E34</f>
        <v>1086272.93</v>
      </c>
      <c r="G34" s="8">
        <v>4577.1400000000003</v>
      </c>
      <c r="H34" s="8">
        <v>-1035659.38</v>
      </c>
      <c r="I34"/>
      <c r="J34" s="8">
        <v>55190.69</v>
      </c>
      <c r="K34" s="8">
        <v>-45663.9</v>
      </c>
      <c r="L34" s="8">
        <v>9526.7900000000009</v>
      </c>
      <c r="M34" s="8">
        <v>-6401.82</v>
      </c>
      <c r="N34"/>
      <c r="O34" s="8">
        <v>3124.97</v>
      </c>
      <c r="P34" s="8">
        <v>1849948.52</v>
      </c>
      <c r="Q34" s="8">
        <v>414113.9</v>
      </c>
      <c r="R34" s="8">
        <v>1137140.05</v>
      </c>
      <c r="S34" s="8">
        <v>67577.47</v>
      </c>
      <c r="T34" s="8">
        <v>1618831.42</v>
      </c>
      <c r="U34" s="8">
        <v>3505887.32</v>
      </c>
      <c r="V34" s="8">
        <f t="shared" ref="V34:V41" si="19">X34-W34-Z34</f>
        <v>873375.22</v>
      </c>
      <c r="W34">
        <f>16813.7+30540.3</f>
        <v>47354</v>
      </c>
      <c r="X34" s="8">
        <v>983729.22</v>
      </c>
      <c r="Y34">
        <v>1834661.16</v>
      </c>
      <c r="Z34">
        <f>63000</f>
        <v>63000</v>
      </c>
      <c r="AA34" s="8">
        <f t="shared" ref="AA34:AA41" si="20">Y34+Z34</f>
        <v>1897661.16</v>
      </c>
      <c r="AB34">
        <v>2818390.38</v>
      </c>
      <c r="AC34">
        <v>418291.73</v>
      </c>
      <c r="AD34" s="10">
        <f t="shared" ref="AD34:AD41" si="21">U34</f>
        <v>3505887.32</v>
      </c>
      <c r="AE34" s="5">
        <f t="shared" ref="AE34:AE41" si="22">F34/D34</f>
        <v>0.78269759995215649</v>
      </c>
      <c r="AF34" s="5">
        <f t="shared" ref="AF34:AF41" si="23">L34/D34</f>
        <v>6.8643850567538358E-3</v>
      </c>
      <c r="AG34" s="5">
        <f t="shared" ref="AG34:AG41" si="24">O34/D34</f>
        <v>2.2516500700450028E-3</v>
      </c>
      <c r="AH34" s="5">
        <f t="shared" ref="AH34:AH41" si="25">O34/U34</f>
        <v>8.9134924051124378E-4</v>
      </c>
      <c r="AI34" s="7">
        <f t="shared" si="17"/>
        <v>2522158.0999999996</v>
      </c>
    </row>
    <row r="35" spans="1:35" x14ac:dyDescent="0.4">
      <c r="A35" s="1">
        <v>2014</v>
      </c>
      <c r="B35" s="2" t="s">
        <v>37</v>
      </c>
      <c r="C35" s="13">
        <f t="shared" si="3"/>
        <v>6.4901124338684377E-2</v>
      </c>
      <c r="D35" s="8">
        <v>2909714.98</v>
      </c>
      <c r="E35" s="8">
        <v>-768899.36</v>
      </c>
      <c r="F35" s="9">
        <f t="shared" si="18"/>
        <v>2140815.62</v>
      </c>
      <c r="G35" s="8">
        <v>17452.48</v>
      </c>
      <c r="H35" s="8">
        <v>-1910685.78</v>
      </c>
      <c r="I35"/>
      <c r="J35" s="8">
        <v>247582.32</v>
      </c>
      <c r="K35" s="8">
        <v>-77039.25</v>
      </c>
      <c r="L35" s="8">
        <v>170543.07</v>
      </c>
      <c r="M35" s="8">
        <v>-65447.34</v>
      </c>
      <c r="N35"/>
      <c r="O35" s="8">
        <v>97177.95</v>
      </c>
      <c r="P35" s="8">
        <v>1829903.45</v>
      </c>
      <c r="Q35" s="8">
        <v>352433.58</v>
      </c>
      <c r="R35" s="8">
        <v>1841923.48</v>
      </c>
      <c r="S35" s="8">
        <v>164090.01999999999</v>
      </c>
      <c r="T35" s="8">
        <v>2358447.08</v>
      </c>
      <c r="U35" s="8">
        <v>4198335.82</v>
      </c>
      <c r="V35" s="8">
        <f t="shared" si="19"/>
        <v>1184170.57</v>
      </c>
      <c r="W35">
        <f>31928.54+87468.4</f>
        <v>119396.94</v>
      </c>
      <c r="X35" s="8">
        <v>1742715.31</v>
      </c>
      <c r="Y35" s="11">
        <v>1507871.12</v>
      </c>
      <c r="Z35">
        <v>439147.8</v>
      </c>
      <c r="AA35" s="8">
        <f t="shared" si="20"/>
        <v>1947018.9200000002</v>
      </c>
      <c r="AB35">
        <v>3250586.43</v>
      </c>
      <c r="AC35">
        <v>711347.75</v>
      </c>
      <c r="AD35" s="10">
        <f t="shared" si="21"/>
        <v>4198335.82</v>
      </c>
      <c r="AE35" s="5">
        <f t="shared" si="22"/>
        <v>0.73574753359519773</v>
      </c>
      <c r="AF35" s="5">
        <f t="shared" si="23"/>
        <v>5.8611606694206182E-2</v>
      </c>
      <c r="AG35" s="5">
        <f t="shared" si="24"/>
        <v>3.3397755679836383E-2</v>
      </c>
      <c r="AH35" s="5">
        <f t="shared" si="25"/>
        <v>2.3146778668124739E-2</v>
      </c>
      <c r="AI35" s="7">
        <f t="shared" si="17"/>
        <v>2455620.5100000002</v>
      </c>
    </row>
    <row r="36" spans="1:35" x14ac:dyDescent="0.4">
      <c r="A36" s="1">
        <v>2015</v>
      </c>
      <c r="B36" s="2" t="s">
        <v>37</v>
      </c>
      <c r="C36" s="13">
        <f t="shared" si="3"/>
        <v>8.0231817717281079E-2</v>
      </c>
      <c r="D36" s="8">
        <v>3231068.66</v>
      </c>
      <c r="E36" s="8">
        <v>-791821.22</v>
      </c>
      <c r="F36" s="9">
        <f t="shared" si="18"/>
        <v>2439247.4400000004</v>
      </c>
      <c r="G36" s="8">
        <v>34277.72</v>
      </c>
      <c r="H36">
        <f>-1053956.69-960744.95</f>
        <v>-2014701.64</v>
      </c>
      <c r="I36"/>
      <c r="J36">
        <v>458823.52</v>
      </c>
      <c r="K36">
        <v>-78595.960000000006</v>
      </c>
      <c r="L36">
        <v>380227.56</v>
      </c>
      <c r="M36"/>
      <c r="N36">
        <v>-120327.13</v>
      </c>
      <c r="O36">
        <v>259900.43</v>
      </c>
      <c r="P36">
        <v>1809983.51</v>
      </c>
      <c r="Q36">
        <v>355475.44</v>
      </c>
      <c r="R36">
        <f>1811030.96+139525.89</f>
        <v>1950556.85</v>
      </c>
      <c r="S36">
        <v>138010.85999999999</v>
      </c>
      <c r="T36">
        <v>2444043.15</v>
      </c>
      <c r="U36">
        <v>4254026.66</v>
      </c>
      <c r="V36" s="8">
        <f t="shared" si="19"/>
        <v>1557995.8900000001</v>
      </c>
      <c r="W36">
        <v>120327.13</v>
      </c>
      <c r="X36">
        <v>1805642.79</v>
      </c>
      <c r="Y36" s="11">
        <v>1502758</v>
      </c>
      <c r="Z36">
        <v>127319.77</v>
      </c>
      <c r="AA36" s="8">
        <f t="shared" si="20"/>
        <v>1630077.77</v>
      </c>
      <c r="AB36" s="12">
        <f>X36+Y36</f>
        <v>3308400.79</v>
      </c>
      <c r="AC36">
        <v>945625.87</v>
      </c>
      <c r="AD36" s="10">
        <f t="shared" si="21"/>
        <v>4254026.66</v>
      </c>
      <c r="AE36" s="5">
        <f t="shared" si="22"/>
        <v>0.75493519224688965</v>
      </c>
      <c r="AF36" s="5">
        <f t="shared" si="23"/>
        <v>0.11767857635064925</v>
      </c>
      <c r="AG36" s="5">
        <f t="shared" si="24"/>
        <v>8.0437916166102144E-2</v>
      </c>
      <c r="AH36" s="5">
        <f t="shared" si="25"/>
        <v>6.1095157781639285E-2</v>
      </c>
      <c r="AI36" s="7">
        <f t="shared" si="17"/>
        <v>2448383.87</v>
      </c>
    </row>
    <row r="37" spans="1:35" x14ac:dyDescent="0.4">
      <c r="A37" s="1">
        <v>2016</v>
      </c>
      <c r="B37" s="2" t="s">
        <v>37</v>
      </c>
      <c r="C37" s="13">
        <f t="shared" si="3"/>
        <v>9.5287283592656008E-2</v>
      </c>
      <c r="D37" s="8">
        <v>4051464.054</v>
      </c>
      <c r="E37" s="8">
        <v>-1034917.78</v>
      </c>
      <c r="F37" s="9">
        <f t="shared" si="18"/>
        <v>3016546.2740000002</v>
      </c>
      <c r="G37">
        <f>58614-56892.54</f>
        <v>1721.4599999999991</v>
      </c>
      <c r="H37">
        <f>-1885155.25-418755.09</f>
        <v>-2303910.34</v>
      </c>
      <c r="I37"/>
      <c r="J37">
        <v>714357.39</v>
      </c>
      <c r="K37">
        <v>-80057.22</v>
      </c>
      <c r="L37">
        <v>634300.17000000004</v>
      </c>
      <c r="M37"/>
      <c r="N37">
        <v>-189758.74</v>
      </c>
      <c r="O37">
        <v>444541.43</v>
      </c>
      <c r="P37">
        <v>1739195.58</v>
      </c>
      <c r="Q37">
        <v>415019.47</v>
      </c>
      <c r="R37">
        <v>2876607.81</v>
      </c>
      <c r="S37">
        <v>12857.98</v>
      </c>
      <c r="T37">
        <v>3304485.26</v>
      </c>
      <c r="U37">
        <v>5043680.84</v>
      </c>
      <c r="V37" s="8">
        <f t="shared" si="19"/>
        <v>1926240.5000000002</v>
      </c>
      <c r="W37">
        <v>189758.74</v>
      </c>
      <c r="X37">
        <v>2189249.1800000002</v>
      </c>
      <c r="Y37">
        <v>1464264.36</v>
      </c>
      <c r="Z37">
        <v>73249.94</v>
      </c>
      <c r="AA37" s="8">
        <f t="shared" si="20"/>
        <v>1537514.3</v>
      </c>
      <c r="AB37">
        <v>3653513.54</v>
      </c>
      <c r="AC37">
        <v>1390167.3</v>
      </c>
      <c r="AD37" s="10">
        <f t="shared" si="21"/>
        <v>5043680.84</v>
      </c>
      <c r="AE37" s="5">
        <f t="shared" si="22"/>
        <v>0.74455708696755485</v>
      </c>
      <c r="AF37" s="5">
        <f t="shared" si="23"/>
        <v>0.1565607300338151</v>
      </c>
      <c r="AG37" s="5">
        <f t="shared" si="24"/>
        <v>0.1097236515182963</v>
      </c>
      <c r="AH37" s="5">
        <f t="shared" si="25"/>
        <v>8.8138295047233806E-2</v>
      </c>
      <c r="AI37" s="7">
        <f t="shared" si="17"/>
        <v>2854431.6599999997</v>
      </c>
    </row>
    <row r="38" spans="1:35" x14ac:dyDescent="0.4">
      <c r="A38" s="1">
        <v>2017</v>
      </c>
      <c r="B38" s="2" t="s">
        <v>37</v>
      </c>
      <c r="C38" s="13">
        <f t="shared" si="3"/>
        <v>9.4443478530547464E-2</v>
      </c>
      <c r="D38" s="8">
        <v>3898063.7</v>
      </c>
      <c r="E38" s="8">
        <v>-888377.1</v>
      </c>
      <c r="F38" s="8">
        <f t="shared" si="18"/>
        <v>3009686.6</v>
      </c>
      <c r="G38" s="8">
        <v>13506.75</v>
      </c>
      <c r="H38" s="8">
        <f>-2152654.83-428166.38-37388.4</f>
        <v>-2618209.61</v>
      </c>
      <c r="I38" s="8">
        <v>0</v>
      </c>
      <c r="J38" s="8">
        <v>404983.74</v>
      </c>
      <c r="K38" s="8">
        <v>-85970.51</v>
      </c>
      <c r="L38" s="8">
        <v>319013.23</v>
      </c>
      <c r="M38" s="8">
        <v>0</v>
      </c>
      <c r="N38" s="8">
        <v>-99146.59</v>
      </c>
      <c r="O38" s="8">
        <v>219866.64</v>
      </c>
      <c r="P38" s="8">
        <v>1678474.87</v>
      </c>
      <c r="Q38" s="8">
        <v>521302.92</v>
      </c>
      <c r="R38" s="8">
        <v>2843311.89</v>
      </c>
      <c r="S38" s="8">
        <v>30669.73</v>
      </c>
      <c r="T38" s="8">
        <v>3395284.54</v>
      </c>
      <c r="U38" s="8">
        <v>5073759.41</v>
      </c>
      <c r="V38" s="8">
        <f t="shared" si="19"/>
        <v>1700110.53</v>
      </c>
      <c r="W38" s="8">
        <f>99146.59+46251.53</f>
        <v>145398.12</v>
      </c>
      <c r="X38" s="8">
        <v>2132037.35</v>
      </c>
      <c r="Y38" s="8">
        <v>1331688.1200000001</v>
      </c>
      <c r="Z38" s="8">
        <v>286528.7</v>
      </c>
      <c r="AA38" s="8">
        <f t="shared" si="20"/>
        <v>1618216.82</v>
      </c>
      <c r="AB38" s="8">
        <v>3463725.47</v>
      </c>
      <c r="AC38" s="8">
        <v>1610033.94</v>
      </c>
      <c r="AD38" s="10">
        <f t="shared" si="21"/>
        <v>5073759.41</v>
      </c>
      <c r="AE38" s="5">
        <f t="shared" si="22"/>
        <v>0.77209784950410121</v>
      </c>
      <c r="AF38" s="5">
        <f t="shared" si="23"/>
        <v>8.1838896065243874E-2</v>
      </c>
      <c r="AG38" s="5">
        <f t="shared" si="24"/>
        <v>5.6404065433820386E-2</v>
      </c>
      <c r="AH38" s="5">
        <f t="shared" si="25"/>
        <v>4.3334068928585642E-2</v>
      </c>
      <c r="AI38" s="7">
        <f t="shared" si="17"/>
        <v>2941722.06</v>
      </c>
    </row>
    <row r="39" spans="1:35" x14ac:dyDescent="0.4">
      <c r="A39" s="1">
        <v>2018</v>
      </c>
      <c r="B39" s="2" t="s">
        <v>37</v>
      </c>
      <c r="C39" s="13">
        <f t="shared" si="3"/>
        <v>0.13225742757825867</v>
      </c>
      <c r="D39" s="8">
        <v>4739989.3099999996</v>
      </c>
      <c r="E39" s="8">
        <v>-1103136.54</v>
      </c>
      <c r="F39" s="8">
        <f t="shared" si="18"/>
        <v>3636852.7699999996</v>
      </c>
      <c r="G39" s="8">
        <v>18016.66</v>
      </c>
      <c r="H39" s="8">
        <f>-2609091.07-473774.35-11112.69</f>
        <v>-3093978.11</v>
      </c>
      <c r="I39" s="8">
        <v>0</v>
      </c>
      <c r="J39" s="8">
        <v>561891.31999999995</v>
      </c>
      <c r="K39" s="8">
        <v>-92512.82</v>
      </c>
      <c r="L39" s="8">
        <v>469378.5</v>
      </c>
      <c r="M39" s="8">
        <v>0</v>
      </c>
      <c r="N39" s="8">
        <v>-143701.51</v>
      </c>
      <c r="O39" s="8">
        <v>325676.99</v>
      </c>
      <c r="P39" s="8">
        <v>1686174.84</v>
      </c>
      <c r="Q39" s="8">
        <v>903150.11</v>
      </c>
      <c r="R39" s="8">
        <v>2991285.73</v>
      </c>
      <c r="S39" s="8">
        <v>287227.27</v>
      </c>
      <c r="T39" s="8">
        <v>4181663.11</v>
      </c>
      <c r="U39" s="8">
        <v>5867837.9500000002</v>
      </c>
      <c r="V39" s="8">
        <f t="shared" si="19"/>
        <v>2159214.38</v>
      </c>
      <c r="W39" s="8">
        <f>143701.5+63125.45</f>
        <v>206826.95</v>
      </c>
      <c r="X39" s="8">
        <v>2573770.77</v>
      </c>
      <c r="Y39" s="8">
        <v>1458626.25</v>
      </c>
      <c r="Z39" s="8">
        <v>207729.44</v>
      </c>
      <c r="AA39" s="8">
        <f t="shared" si="20"/>
        <v>1666355.69</v>
      </c>
      <c r="AB39" s="8">
        <v>4032397.02</v>
      </c>
      <c r="AC39" s="8">
        <v>1835440.93</v>
      </c>
      <c r="AD39" s="10">
        <f t="shared" si="21"/>
        <v>5867837.9500000002</v>
      </c>
      <c r="AE39" s="5">
        <f t="shared" si="22"/>
        <v>0.7672702472824775</v>
      </c>
      <c r="AF39" s="5">
        <f t="shared" si="23"/>
        <v>9.9025223329037432E-2</v>
      </c>
      <c r="AG39" s="5">
        <f t="shared" si="24"/>
        <v>6.8708380694639165E-2</v>
      </c>
      <c r="AH39" s="5">
        <f t="shared" si="25"/>
        <v>5.5502042281177853E-2</v>
      </c>
      <c r="AI39" s="7">
        <f t="shared" si="17"/>
        <v>3294067.18</v>
      </c>
    </row>
    <row r="40" spans="1:35" x14ac:dyDescent="0.4">
      <c r="A40" s="1">
        <v>2019</v>
      </c>
      <c r="B40" s="2" t="s">
        <v>37</v>
      </c>
      <c r="C40" s="13">
        <f t="shared" si="3"/>
        <v>0.12626608438278242</v>
      </c>
      <c r="D40" s="8">
        <v>5374077.5199999996</v>
      </c>
      <c r="E40" s="8">
        <v>-1352559.77</v>
      </c>
      <c r="F40" s="8">
        <f t="shared" si="18"/>
        <v>4021517.7499999995</v>
      </c>
      <c r="G40" s="8">
        <v>31264.1</v>
      </c>
      <c r="H40" s="8">
        <f>-500393-3008902-140738.92</f>
        <v>-3650033.92</v>
      </c>
      <c r="I40" s="8">
        <v>0</v>
      </c>
      <c r="J40" s="8">
        <v>402747.84</v>
      </c>
      <c r="K40" s="8">
        <v>-98964.64</v>
      </c>
      <c r="L40" s="8">
        <v>303783.2</v>
      </c>
      <c r="M40" s="8">
        <v>0</v>
      </c>
      <c r="N40" s="8">
        <v>-109782.88</v>
      </c>
      <c r="O40" s="8">
        <v>194000.32</v>
      </c>
      <c r="P40" s="8">
        <v>1845392.13</v>
      </c>
      <c r="Q40" s="8">
        <v>1228432.28</v>
      </c>
      <c r="R40" s="8">
        <v>3003259.96</v>
      </c>
      <c r="S40" s="8">
        <v>401996.46</v>
      </c>
      <c r="T40" s="8">
        <v>4633688.7</v>
      </c>
      <c r="U40" s="8">
        <v>6479080.8300000001</v>
      </c>
      <c r="V40" s="8">
        <f t="shared" si="19"/>
        <v>2145336.84</v>
      </c>
      <c r="W40" s="8">
        <f>5750.54+109782.88</f>
        <v>115533.42</v>
      </c>
      <c r="X40" s="8">
        <v>2881343.29</v>
      </c>
      <c r="Y40" s="8">
        <v>1491906.66</v>
      </c>
      <c r="Z40" s="8">
        <v>620473.03</v>
      </c>
      <c r="AA40" s="8">
        <f t="shared" si="20"/>
        <v>2112379.69</v>
      </c>
      <c r="AB40" s="8">
        <v>4373249.95</v>
      </c>
      <c r="AC40" s="8">
        <v>2029441.25</v>
      </c>
      <c r="AD40" s="10">
        <f t="shared" si="21"/>
        <v>6479080.8300000001</v>
      </c>
      <c r="AE40" s="5">
        <f t="shared" si="22"/>
        <v>0.74831777826680845</v>
      </c>
      <c r="AF40" s="5">
        <f t="shared" si="23"/>
        <v>5.6527506138393038E-2</v>
      </c>
      <c r="AG40" s="5">
        <f t="shared" si="24"/>
        <v>3.6099278299952776E-2</v>
      </c>
      <c r="AH40" s="5">
        <f t="shared" si="25"/>
        <v>2.9942568257787888E-2</v>
      </c>
      <c r="AI40" s="7">
        <f t="shared" si="17"/>
        <v>3597737.54</v>
      </c>
    </row>
    <row r="41" spans="1:35" x14ac:dyDescent="0.4">
      <c r="A41" s="1">
        <v>2020</v>
      </c>
      <c r="B41" s="2" t="s">
        <v>37</v>
      </c>
      <c r="C41" s="13">
        <f t="shared" si="3"/>
        <v>0.14940343021680991</v>
      </c>
      <c r="D41" s="8">
        <v>6623987.5700000003</v>
      </c>
      <c r="E41" s="8">
        <v>-1470875</v>
      </c>
      <c r="F41" s="8">
        <f t="shared" si="18"/>
        <v>5153112.57</v>
      </c>
      <c r="G41" s="8">
        <v>67473.98</v>
      </c>
      <c r="H41" s="8">
        <f>-3047396.13-470613.95-41563.26</f>
        <v>-3559573.34</v>
      </c>
      <c r="I41" s="8">
        <v>0</v>
      </c>
      <c r="J41" s="8">
        <v>1661013.21</v>
      </c>
      <c r="K41" s="8">
        <v>-82464.789999999994</v>
      </c>
      <c r="L41" s="8">
        <v>1578548.42</v>
      </c>
      <c r="M41" s="8">
        <v>0</v>
      </c>
      <c r="N41" s="8">
        <v>-323859.26</v>
      </c>
      <c r="O41" s="8">
        <v>1254689.1599999999</v>
      </c>
      <c r="P41" s="8">
        <v>1781654.66</v>
      </c>
      <c r="Q41" s="8">
        <v>1358658.17</v>
      </c>
      <c r="R41" s="8">
        <v>3892977.33</v>
      </c>
      <c r="S41" s="8">
        <v>1123693.43</v>
      </c>
      <c r="T41" s="8">
        <v>6375328.9299999997</v>
      </c>
      <c r="U41" s="8">
        <v>8156983.5899999999</v>
      </c>
      <c r="V41" s="8">
        <f t="shared" si="19"/>
        <v>3169694.11</v>
      </c>
      <c r="W41" s="8">
        <f>3092.05+323859.26</f>
        <v>326951.31</v>
      </c>
      <c r="X41" s="8">
        <v>3738509.64</v>
      </c>
      <c r="Y41" s="8">
        <v>2069025.71</v>
      </c>
      <c r="Z41" s="8">
        <v>241864.22</v>
      </c>
      <c r="AA41" s="8">
        <f t="shared" si="20"/>
        <v>2310889.9300000002</v>
      </c>
      <c r="AB41" s="8">
        <v>5807535.3499999996</v>
      </c>
      <c r="AC41" s="8">
        <v>2262460.41</v>
      </c>
      <c r="AD41" s="10">
        <f t="shared" si="21"/>
        <v>8156983.5899999999</v>
      </c>
      <c r="AE41" s="5">
        <f t="shared" si="22"/>
        <v>0.77794719805007118</v>
      </c>
      <c r="AF41" s="5">
        <f t="shared" si="23"/>
        <v>0.2383078777425906</v>
      </c>
      <c r="AG41" s="5">
        <f t="shared" si="24"/>
        <v>0.1894159894989054</v>
      </c>
      <c r="AH41" s="5">
        <f t="shared" si="25"/>
        <v>0.15381778645946742</v>
      </c>
      <c r="AI41" s="7">
        <f t="shared" si="17"/>
        <v>4418473.9499999993</v>
      </c>
    </row>
    <row r="42" spans="1:35" x14ac:dyDescent="0.4">
      <c r="A42" s="1">
        <v>2011</v>
      </c>
      <c r="B42" s="2" t="s">
        <v>38</v>
      </c>
      <c r="C42" s="13">
        <f t="shared" si="3"/>
        <v>0</v>
      </c>
      <c r="AE42" s="5"/>
      <c r="AF42" s="5"/>
      <c r="AG42" s="5"/>
      <c r="AH42" s="5"/>
      <c r="AI42" s="7"/>
    </row>
    <row r="43" spans="1:35" x14ac:dyDescent="0.4">
      <c r="A43" s="1">
        <v>2012</v>
      </c>
      <c r="B43" s="2" t="s">
        <v>38</v>
      </c>
      <c r="C43" s="13">
        <f t="shared" si="3"/>
        <v>0</v>
      </c>
      <c r="AE43" s="5"/>
      <c r="AF43" s="5"/>
      <c r="AG43" s="5"/>
      <c r="AH43" s="5"/>
      <c r="AI43" s="7"/>
    </row>
    <row r="44" spans="1:35" x14ac:dyDescent="0.4">
      <c r="A44" s="1">
        <v>2013</v>
      </c>
      <c r="B44" s="2" t="s">
        <v>38</v>
      </c>
      <c r="C44" s="13">
        <f t="shared" si="3"/>
        <v>0</v>
      </c>
      <c r="AE44" s="5"/>
      <c r="AF44" s="5"/>
      <c r="AG44" s="5"/>
      <c r="AH44" s="5"/>
      <c r="AI44" s="7"/>
    </row>
    <row r="45" spans="1:35" x14ac:dyDescent="0.4">
      <c r="A45" s="1">
        <v>2014</v>
      </c>
      <c r="B45" s="2" t="s">
        <v>38</v>
      </c>
      <c r="C45" s="13">
        <f t="shared" si="3"/>
        <v>5.9503627827034382E-2</v>
      </c>
      <c r="D45">
        <v>2667728.7799999998</v>
      </c>
      <c r="E45">
        <v>-1211249.1100000001</v>
      </c>
      <c r="F45">
        <v>1456479.67</v>
      </c>
      <c r="G45">
        <f>103935.44</f>
        <v>103935.44</v>
      </c>
      <c r="H45">
        <f>-476088.97-1071545.72</f>
        <v>-1547634.69</v>
      </c>
      <c r="I45"/>
      <c r="J45">
        <v>-312065.38</v>
      </c>
      <c r="K45">
        <v>-438633.18</v>
      </c>
      <c r="L45">
        <v>-750697.53</v>
      </c>
      <c r="M45"/>
      <c r="N45"/>
      <c r="O45">
        <v>-750697.53</v>
      </c>
      <c r="P45">
        <v>1608018.88</v>
      </c>
      <c r="Q45">
        <v>4634694.76</v>
      </c>
      <c r="R45">
        <f>T45-S45-Q45</f>
        <v>5335836.1899999995</v>
      </c>
      <c r="S45">
        <v>32963.56</v>
      </c>
      <c r="T45">
        <v>10003494.51</v>
      </c>
      <c r="U45">
        <v>11609511.17</v>
      </c>
      <c r="V45">
        <f t="shared" ref="V45:V51" si="26">X45-W45-Z45</f>
        <v>1624121.9800000002</v>
      </c>
      <c r="W45">
        <f>127264.18+416974.98</f>
        <v>544239.15999999992</v>
      </c>
      <c r="X45">
        <v>2308929.87</v>
      </c>
      <c r="Y45">
        <v>7321291.6399999997</v>
      </c>
      <c r="Z45">
        <v>140568.73000000001</v>
      </c>
      <c r="AA45">
        <f t="shared" ref="AA45:AA51" si="27">Z45+Y45</f>
        <v>7461860.3700000001</v>
      </c>
      <c r="AB45">
        <v>9630221.3100000005</v>
      </c>
      <c r="AC45" s="11">
        <f t="shared" ref="AC45:AC51" si="28">AD45-AB45</f>
        <v>1979289.8599999994</v>
      </c>
      <c r="AD45">
        <f t="shared" ref="AD45:AD51" si="29">U45</f>
        <v>11609511.17</v>
      </c>
      <c r="AE45" s="5">
        <f t="shared" ref="AE45:AE51" si="30">F45/D45</f>
        <v>0.54596242351143354</v>
      </c>
      <c r="AF45" s="5">
        <f t="shared" ref="AF45:AF51" si="31">L45/D45</f>
        <v>-0.28139949444186002</v>
      </c>
      <c r="AG45" s="5">
        <f t="shared" ref="AG45:AG51" si="32">O45/D45</f>
        <v>-0.28139949444186002</v>
      </c>
      <c r="AH45" s="5">
        <f t="shared" ref="AH45:AH51" si="33">O45/U45</f>
        <v>-6.4662285862635505E-2</v>
      </c>
      <c r="AI45" s="7">
        <f t="shared" ref="AI45:AI51" si="34">U45-X45</f>
        <v>9300581.3000000007</v>
      </c>
    </row>
    <row r="46" spans="1:35" x14ac:dyDescent="0.4">
      <c r="A46" s="1">
        <v>2015</v>
      </c>
      <c r="B46" s="2" t="s">
        <v>38</v>
      </c>
      <c r="C46" s="13">
        <f t="shared" si="3"/>
        <v>4.4601648959153632E-2</v>
      </c>
      <c r="D46">
        <v>1796182.54</v>
      </c>
      <c r="E46">
        <v>-918437.5</v>
      </c>
      <c r="F46">
        <f t="shared" ref="F46:F51" si="35">D46+E46</f>
        <v>877745.04</v>
      </c>
      <c r="G46">
        <v>41041.379999999997</v>
      </c>
      <c r="H46">
        <f>-516085.29-843908.77</f>
        <v>-1359994.06</v>
      </c>
      <c r="I46"/>
      <c r="J46">
        <v>-718963.59</v>
      </c>
      <c r="K46">
        <v>-323083.90000000002</v>
      </c>
      <c r="L46">
        <v>-1042026.46</v>
      </c>
      <c r="M46"/>
      <c r="N46"/>
      <c r="O46" s="11">
        <v>-1042026.46</v>
      </c>
      <c r="P46">
        <v>2192322.5699999998</v>
      </c>
      <c r="Q46">
        <v>4522450.55</v>
      </c>
      <c r="R46">
        <f>T46-S46-Q46</f>
        <v>4161513.71</v>
      </c>
      <c r="S46">
        <v>10872.56</v>
      </c>
      <c r="T46">
        <v>8694836.8200000003</v>
      </c>
      <c r="U46">
        <v>10836159.390000001</v>
      </c>
      <c r="V46">
        <f t="shared" si="26"/>
        <v>1909411.2800000003</v>
      </c>
      <c r="W46">
        <f>94811.65+379819.21</f>
        <v>474630.86</v>
      </c>
      <c r="X46">
        <v>2541122.9500000002</v>
      </c>
      <c r="Y46">
        <v>7407773.04</v>
      </c>
      <c r="Z46">
        <v>157080.81</v>
      </c>
      <c r="AA46">
        <f t="shared" si="27"/>
        <v>7564853.8499999996</v>
      </c>
      <c r="AB46">
        <v>9948895.9900000002</v>
      </c>
      <c r="AC46">
        <f t="shared" si="28"/>
        <v>887263.40000000037</v>
      </c>
      <c r="AD46">
        <f t="shared" si="29"/>
        <v>10836159.390000001</v>
      </c>
      <c r="AE46" s="5">
        <f t="shared" si="30"/>
        <v>0.48867251543375989</v>
      </c>
      <c r="AF46" s="5">
        <f t="shared" si="31"/>
        <v>-0.58013394340198854</v>
      </c>
      <c r="AG46" s="5">
        <f t="shared" si="32"/>
        <v>-0.58013394340198854</v>
      </c>
      <c r="AH46" s="5">
        <f t="shared" si="33"/>
        <v>-9.6161972383095401E-2</v>
      </c>
      <c r="AI46" s="7">
        <f t="shared" si="34"/>
        <v>8295036.4400000004</v>
      </c>
    </row>
    <row r="47" spans="1:35" x14ac:dyDescent="0.4">
      <c r="A47" s="1">
        <v>2016</v>
      </c>
      <c r="B47" s="2" t="s">
        <v>38</v>
      </c>
      <c r="C47" s="13">
        <f t="shared" si="3"/>
        <v>4.9660443634537095E-2</v>
      </c>
      <c r="D47">
        <v>2111483.2400000002</v>
      </c>
      <c r="E47">
        <v>-1072774.6599999999</v>
      </c>
      <c r="F47">
        <f t="shared" si="35"/>
        <v>1038708.5800000003</v>
      </c>
      <c r="G47">
        <v>54582.94</v>
      </c>
      <c r="H47">
        <f>-390491-707837.9</f>
        <v>-1098328.8999999999</v>
      </c>
      <c r="I47"/>
      <c r="J47">
        <v>-30002.17</v>
      </c>
      <c r="K47">
        <v>-275841.34000000003</v>
      </c>
      <c r="L47">
        <v>-305842.36</v>
      </c>
      <c r="M47"/>
      <c r="N47"/>
      <c r="O47">
        <f>L47</f>
        <v>-305842.36</v>
      </c>
      <c r="P47">
        <v>2077827.8</v>
      </c>
      <c r="Q47">
        <v>4267325.97</v>
      </c>
      <c r="R47">
        <f>T47-Q47-S47</f>
        <v>4012648.2200000007</v>
      </c>
      <c r="S47">
        <v>9671.2900000000009</v>
      </c>
      <c r="T47">
        <v>8289645.4800000004</v>
      </c>
      <c r="U47">
        <v>10367473.279999999</v>
      </c>
      <c r="V47">
        <f t="shared" si="26"/>
        <v>1652679.1800000002</v>
      </c>
      <c r="W47">
        <f>97606.69+427193.82</f>
        <v>524800.51</v>
      </c>
      <c r="X47">
        <v>2211429.2200000002</v>
      </c>
      <c r="Y47">
        <v>7524623.0199999996</v>
      </c>
      <c r="Z47">
        <v>33949.53</v>
      </c>
      <c r="AA47">
        <f t="shared" si="27"/>
        <v>7558572.5499999998</v>
      </c>
      <c r="AB47" s="11">
        <v>9736052.2400000002</v>
      </c>
      <c r="AC47" s="11">
        <f t="shared" si="28"/>
        <v>631421.03999999911</v>
      </c>
      <c r="AD47">
        <f t="shared" si="29"/>
        <v>10367473.279999999</v>
      </c>
      <c r="AE47" s="5">
        <f t="shared" si="30"/>
        <v>0.4919331398529122</v>
      </c>
      <c r="AF47" s="5">
        <f t="shared" si="31"/>
        <v>-0.14484716440372974</v>
      </c>
      <c r="AG47" s="5">
        <f t="shared" si="32"/>
        <v>-0.14484716440372974</v>
      </c>
      <c r="AH47" s="5">
        <f t="shared" si="33"/>
        <v>-2.9500183095721468E-2</v>
      </c>
      <c r="AI47" s="7">
        <f t="shared" si="34"/>
        <v>8156044.0599999987</v>
      </c>
    </row>
    <row r="48" spans="1:35" x14ac:dyDescent="0.4">
      <c r="A48" s="1">
        <v>2017</v>
      </c>
      <c r="B48" s="2" t="s">
        <v>38</v>
      </c>
      <c r="C48" s="13">
        <f t="shared" si="3"/>
        <v>4.7552307359338832E-2</v>
      </c>
      <c r="D48" s="10">
        <v>1962675.73</v>
      </c>
      <c r="E48" s="10">
        <v>-998749.37</v>
      </c>
      <c r="F48">
        <f t="shared" si="35"/>
        <v>963926.36</v>
      </c>
      <c r="G48" s="10">
        <v>69727.23</v>
      </c>
      <c r="H48">
        <f>-319950.55-734786.99</f>
        <v>-1054737.54</v>
      </c>
      <c r="I48"/>
      <c r="J48">
        <v>8618.7900000000009</v>
      </c>
      <c r="K48">
        <v>-255134.26</v>
      </c>
      <c r="L48">
        <v>-317881</v>
      </c>
      <c r="M48"/>
      <c r="N48"/>
      <c r="O48">
        <f>L48</f>
        <v>-317881</v>
      </c>
      <c r="P48">
        <v>2039860.48</v>
      </c>
      <c r="Q48">
        <v>4017753.86</v>
      </c>
      <c r="R48">
        <f>T48-Q48-S48</f>
        <v>4104479.39</v>
      </c>
      <c r="S48">
        <v>37589.58</v>
      </c>
      <c r="T48">
        <v>8159822.8300000001</v>
      </c>
      <c r="U48">
        <v>10199683.310000001</v>
      </c>
      <c r="V48">
        <f t="shared" si="26"/>
        <v>1454120.7400000002</v>
      </c>
      <c r="W48">
        <f>164938.49+556959.45</f>
        <v>721897.94</v>
      </c>
      <c r="X48">
        <v>2381881.2200000002</v>
      </c>
      <c r="Y48">
        <v>7504262.0499999998</v>
      </c>
      <c r="Z48">
        <v>205862.54</v>
      </c>
      <c r="AA48">
        <f t="shared" si="27"/>
        <v>7710124.5899999999</v>
      </c>
      <c r="AB48">
        <v>9886143.2699999996</v>
      </c>
      <c r="AC48">
        <f t="shared" si="28"/>
        <v>313540.04000000097</v>
      </c>
      <c r="AD48">
        <f t="shared" si="29"/>
        <v>10199683.310000001</v>
      </c>
      <c r="AE48" s="5">
        <f t="shared" si="30"/>
        <v>0.49112868991353958</v>
      </c>
      <c r="AF48" s="5">
        <f t="shared" si="31"/>
        <v>-0.16196307680433791</v>
      </c>
      <c r="AG48" s="5">
        <f t="shared" si="32"/>
        <v>-0.16196307680433791</v>
      </c>
      <c r="AH48" s="5">
        <f t="shared" si="33"/>
        <v>-3.1165771557666134E-2</v>
      </c>
      <c r="AI48" s="7">
        <f t="shared" si="34"/>
        <v>7817802.0899999999</v>
      </c>
    </row>
    <row r="49" spans="1:35" x14ac:dyDescent="0.4">
      <c r="A49" s="1">
        <v>2018</v>
      </c>
      <c r="B49" s="2" t="s">
        <v>38</v>
      </c>
      <c r="C49" s="13">
        <f t="shared" si="3"/>
        <v>6.0155884714764137E-2</v>
      </c>
      <c r="D49" s="10">
        <v>2155933.7400000002</v>
      </c>
      <c r="E49" s="10">
        <v>-1171383.44</v>
      </c>
      <c r="F49">
        <f t="shared" si="35"/>
        <v>984550.30000000028</v>
      </c>
      <c r="G49" s="10">
        <v>84661.84</v>
      </c>
      <c r="H49">
        <f>-294079.19-707055.84</f>
        <v>-1001135.03</v>
      </c>
      <c r="I49"/>
      <c r="J49">
        <v>57585.85</v>
      </c>
      <c r="K49">
        <v>-264237.84999999998</v>
      </c>
      <c r="L49">
        <v>-205650.7</v>
      </c>
      <c r="M49"/>
      <c r="N49"/>
      <c r="O49">
        <f>L49</f>
        <v>-205650.7</v>
      </c>
      <c r="P49">
        <v>1543961.13</v>
      </c>
      <c r="Q49">
        <v>4059102.28</v>
      </c>
      <c r="R49">
        <f>T49-Q49-S49</f>
        <v>3845015.2100000004</v>
      </c>
      <c r="S49">
        <v>49349.55</v>
      </c>
      <c r="T49">
        <v>7953467.04</v>
      </c>
      <c r="U49">
        <v>9497428.1699999999</v>
      </c>
      <c r="V49">
        <f t="shared" si="26"/>
        <v>555327.17000000004</v>
      </c>
      <c r="W49">
        <f>86386.89+734130.82</f>
        <v>820517.71</v>
      </c>
      <c r="X49">
        <v>2079508.55</v>
      </c>
      <c r="Y49">
        <v>7316382.0800000001</v>
      </c>
      <c r="Z49">
        <v>703663.67</v>
      </c>
      <c r="AA49">
        <f t="shared" si="27"/>
        <v>8020045.75</v>
      </c>
      <c r="AB49">
        <v>9395890.6300000008</v>
      </c>
      <c r="AC49">
        <f t="shared" si="28"/>
        <v>101537.53999999911</v>
      </c>
      <c r="AD49">
        <f t="shared" si="29"/>
        <v>9497428.1699999999</v>
      </c>
      <c r="AE49" s="5">
        <f t="shared" si="30"/>
        <v>0.45667001806836616</v>
      </c>
      <c r="AF49" s="5">
        <f t="shared" si="31"/>
        <v>-9.5388228397037839E-2</v>
      </c>
      <c r="AG49" s="5">
        <f t="shared" si="32"/>
        <v>-9.5388228397037839E-2</v>
      </c>
      <c r="AH49" s="5">
        <f t="shared" si="33"/>
        <v>-2.1653304064946671E-2</v>
      </c>
      <c r="AI49" s="7">
        <f t="shared" si="34"/>
        <v>7417919.6200000001</v>
      </c>
    </row>
    <row r="50" spans="1:35" x14ac:dyDescent="0.4">
      <c r="A50" s="1">
        <v>2019</v>
      </c>
      <c r="B50" s="2" t="s">
        <v>38</v>
      </c>
      <c r="C50" s="13">
        <f t="shared" si="3"/>
        <v>4.8533651491457587E-2</v>
      </c>
      <c r="D50" s="10">
        <v>2065666.38</v>
      </c>
      <c r="E50" s="10">
        <v>-1126043.3600000001</v>
      </c>
      <c r="F50">
        <f t="shared" si="35"/>
        <v>939623.01999999979</v>
      </c>
      <c r="G50" s="10">
        <v>72005.31</v>
      </c>
      <c r="H50">
        <f>-265932.16-579514.61</f>
        <v>-845446.77</v>
      </c>
      <c r="I50"/>
      <c r="J50">
        <v>165401.4</v>
      </c>
      <c r="K50">
        <v>-358155.67</v>
      </c>
      <c r="L50">
        <v>-192753.58</v>
      </c>
      <c r="M50"/>
      <c r="N50"/>
      <c r="O50">
        <v>-192753.58</v>
      </c>
      <c r="P50">
        <v>1553296.4</v>
      </c>
      <c r="Q50">
        <v>4068317.47</v>
      </c>
      <c r="R50">
        <f>T50-Q50-S50</f>
        <v>5428400.8999999994</v>
      </c>
      <c r="S50">
        <v>88079.47</v>
      </c>
      <c r="T50">
        <v>9584797.8399999999</v>
      </c>
      <c r="U50">
        <v>11138094.24</v>
      </c>
      <c r="V50">
        <f t="shared" si="26"/>
        <v>1823800.2999999998</v>
      </c>
      <c r="W50">
        <f>101095.15+928806.53</f>
        <v>1029901.68</v>
      </c>
      <c r="X50">
        <v>3617922.75</v>
      </c>
      <c r="Y50">
        <v>7611387.5300000003</v>
      </c>
      <c r="Z50">
        <v>764220.77</v>
      </c>
      <c r="AA50">
        <f t="shared" si="27"/>
        <v>8375608.3000000007</v>
      </c>
      <c r="AB50">
        <v>11229310.279999999</v>
      </c>
      <c r="AC50">
        <f t="shared" si="28"/>
        <v>-91216.039999999106</v>
      </c>
      <c r="AD50">
        <f t="shared" si="29"/>
        <v>11138094.24</v>
      </c>
      <c r="AE50" s="5">
        <f t="shared" si="30"/>
        <v>0.45487646461090192</v>
      </c>
      <c r="AF50" s="5">
        <f t="shared" si="31"/>
        <v>-9.3313025697789584E-2</v>
      </c>
      <c r="AG50" s="5">
        <f t="shared" si="32"/>
        <v>-9.3313025697789584E-2</v>
      </c>
      <c r="AH50" s="5">
        <f t="shared" si="33"/>
        <v>-1.7305795394311548E-2</v>
      </c>
      <c r="AI50" s="7">
        <f t="shared" si="34"/>
        <v>7520171.4900000002</v>
      </c>
    </row>
    <row r="51" spans="1:35" x14ac:dyDescent="0.4">
      <c r="A51" s="1">
        <v>2020</v>
      </c>
      <c r="B51" s="2" t="s">
        <v>38</v>
      </c>
      <c r="C51" s="13">
        <f t="shared" si="3"/>
        <v>5.0906268112324161E-2</v>
      </c>
      <c r="D51" s="10">
        <v>2256992.94</v>
      </c>
      <c r="E51" s="10">
        <v>-1292229.56</v>
      </c>
      <c r="F51">
        <f t="shared" si="35"/>
        <v>964763.37999999989</v>
      </c>
      <c r="G51" s="10">
        <v>57401.78</v>
      </c>
      <c r="H51">
        <f>-244161.75-524695.55</f>
        <v>-768857.3</v>
      </c>
      <c r="I51"/>
      <c r="J51">
        <v>241246.44</v>
      </c>
      <c r="K51">
        <f>-325427.71</f>
        <v>-325427.71000000002</v>
      </c>
      <c r="L51">
        <v>-84180.12</v>
      </c>
      <c r="M51"/>
      <c r="N51"/>
      <c r="O51">
        <f>L51</f>
        <v>-84180.12</v>
      </c>
      <c r="P51">
        <v>1540841.72</v>
      </c>
      <c r="Q51">
        <v>3982816.66</v>
      </c>
      <c r="R51">
        <f>T51-Q51-S51</f>
        <v>4323971.7700000005</v>
      </c>
      <c r="S51">
        <v>157939.56</v>
      </c>
      <c r="T51">
        <v>8464727.9900000002</v>
      </c>
      <c r="U51">
        <v>10005569.710000001</v>
      </c>
      <c r="V51">
        <f t="shared" si="26"/>
        <v>206008.38</v>
      </c>
      <c r="W51">
        <f>204943.14+1081036.44</f>
        <v>1285979.58</v>
      </c>
      <c r="X51">
        <v>2310122.6</v>
      </c>
      <c r="Y51">
        <v>7880043.2699999996</v>
      </c>
      <c r="Z51">
        <v>818134.64</v>
      </c>
      <c r="AA51">
        <f t="shared" si="27"/>
        <v>8698177.9100000001</v>
      </c>
      <c r="AB51">
        <v>10190165.869999999</v>
      </c>
      <c r="AC51">
        <f t="shared" si="28"/>
        <v>-184596.15999999829</v>
      </c>
      <c r="AD51">
        <f t="shared" si="29"/>
        <v>10005569.710000001</v>
      </c>
      <c r="AE51" s="5">
        <f t="shared" si="30"/>
        <v>0.42745520506590506</v>
      </c>
      <c r="AF51" s="5">
        <f t="shared" si="31"/>
        <v>-3.7297467133415134E-2</v>
      </c>
      <c r="AG51" s="5">
        <f t="shared" si="32"/>
        <v>-3.7297467133415134E-2</v>
      </c>
      <c r="AH51" s="5">
        <f t="shared" si="33"/>
        <v>-8.4133260213925375E-3</v>
      </c>
      <c r="AI51" s="7">
        <f t="shared" si="34"/>
        <v>7695447.1100000013</v>
      </c>
    </row>
    <row r="52" spans="1:35" x14ac:dyDescent="0.4">
      <c r="A52" s="1">
        <v>2011</v>
      </c>
      <c r="B52" s="2" t="s">
        <v>39</v>
      </c>
      <c r="C52" s="13">
        <f t="shared" si="3"/>
        <v>0</v>
      </c>
      <c r="AE52" s="5"/>
      <c r="AF52" s="5"/>
      <c r="AG52" s="5"/>
      <c r="AH52" s="5"/>
      <c r="AI52" s="7"/>
    </row>
    <row r="53" spans="1:35" x14ac:dyDescent="0.4">
      <c r="A53" s="1">
        <v>2012</v>
      </c>
      <c r="B53" s="2" t="s">
        <v>39</v>
      </c>
      <c r="C53" s="13">
        <f t="shared" si="3"/>
        <v>0</v>
      </c>
      <c r="AE53" s="5"/>
      <c r="AF53" s="5"/>
      <c r="AG53" s="5"/>
      <c r="AH53" s="5"/>
      <c r="AI53" s="7"/>
    </row>
    <row r="54" spans="1:35" x14ac:dyDescent="0.4">
      <c r="A54" s="1">
        <v>2013</v>
      </c>
      <c r="B54" s="2" t="s">
        <v>39</v>
      </c>
      <c r="C54" s="13">
        <f t="shared" si="3"/>
        <v>0.14835199806296892</v>
      </c>
      <c r="D54">
        <v>6166491.5999999996</v>
      </c>
      <c r="E54">
        <v>-3326859.41</v>
      </c>
      <c r="F54">
        <f t="shared" ref="F54:F61" si="36">D54+E54</f>
        <v>2839632.1899999995</v>
      </c>
      <c r="G54">
        <v>50233.68</v>
      </c>
      <c r="H54">
        <f>-1754972.03-1454428.73</f>
        <v>-3209400.76</v>
      </c>
      <c r="I54"/>
      <c r="J54">
        <v>-1681140.93</v>
      </c>
      <c r="K54">
        <v>-772494.96</v>
      </c>
      <c r="L54">
        <v>-2917133.85</v>
      </c>
      <c r="M54"/>
      <c r="N54"/>
      <c r="O54">
        <v>-2904123.61</v>
      </c>
      <c r="P54">
        <v>16913381.73</v>
      </c>
      <c r="Q54">
        <v>4275840.18</v>
      </c>
      <c r="R54">
        <f t="shared" ref="R54:R61" si="37">T54-S54-Q54</f>
        <v>9913155.5099999998</v>
      </c>
      <c r="S54">
        <v>80538.570000000007</v>
      </c>
      <c r="T54">
        <v>14269534.26</v>
      </c>
      <c r="U54">
        <v>31182834.989999998</v>
      </c>
      <c r="V54">
        <f t="shared" ref="V54:V61" si="38">X54-W54-Z54</f>
        <v>3539587.54</v>
      </c>
      <c r="W54"/>
      <c r="X54">
        <v>8626721.2400000002</v>
      </c>
      <c r="Y54">
        <v>7289746.4699999997</v>
      </c>
      <c r="Z54">
        <v>5087133.7</v>
      </c>
      <c r="AA54">
        <f t="shared" ref="AA54:AA61" si="39">Z54+Y54</f>
        <v>12376880.17</v>
      </c>
      <c r="AB54">
        <v>18888849.550000001</v>
      </c>
      <c r="AC54">
        <f t="shared" ref="AC54:AC61" si="40">AD54-AB54</f>
        <v>12293985.439999998</v>
      </c>
      <c r="AD54">
        <v>31182834.989999998</v>
      </c>
      <c r="AE54" s="5">
        <f t="shared" ref="AE54:AE61" si="41">F54/D54</f>
        <v>0.46049396872607429</v>
      </c>
      <c r="AF54" s="5">
        <f t="shared" ref="AF54:AF61" si="42">L54/D54</f>
        <v>-0.47306216228365577</v>
      </c>
      <c r="AG54" s="5">
        <f t="shared" ref="AG54:AG61" si="43">O54/D54</f>
        <v>-0.47095233373868539</v>
      </c>
      <c r="AH54" s="5">
        <f t="shared" ref="AH54:AH61" si="44">O54/U54</f>
        <v>-9.3132122558174116E-2</v>
      </c>
      <c r="AI54" s="7">
        <f t="shared" ref="AI54:AI61" si="45">U54-X54</f>
        <v>22556113.75</v>
      </c>
    </row>
    <row r="55" spans="1:35" x14ac:dyDescent="0.4">
      <c r="A55" s="1">
        <v>2014</v>
      </c>
      <c r="B55" s="2" t="s">
        <v>39</v>
      </c>
      <c r="C55" s="13">
        <f t="shared" si="3"/>
        <v>0.11971091119476883</v>
      </c>
      <c r="D55">
        <v>5367004.58</v>
      </c>
      <c r="E55">
        <v>-3172490.77</v>
      </c>
      <c r="F55">
        <f t="shared" si="36"/>
        <v>2194513.81</v>
      </c>
      <c r="G55">
        <v>29035.11</v>
      </c>
      <c r="H55">
        <f>-1700022.8-1434751.96</f>
        <v>-3134774.76</v>
      </c>
      <c r="I55"/>
      <c r="J55">
        <v>-1810046.53</v>
      </c>
      <c r="K55">
        <v>-791892.06</v>
      </c>
      <c r="L55">
        <v>-3010078.91</v>
      </c>
      <c r="M55"/>
      <c r="N55"/>
      <c r="O55">
        <v>-3041872.58</v>
      </c>
      <c r="P55">
        <v>11208272.779999999</v>
      </c>
      <c r="Q55">
        <v>3950863.07</v>
      </c>
      <c r="R55">
        <f t="shared" si="37"/>
        <v>7583372.6500000004</v>
      </c>
      <c r="S55">
        <v>262104.58</v>
      </c>
      <c r="T55">
        <v>11796340.300000001</v>
      </c>
      <c r="U55">
        <v>23004613.079999998</v>
      </c>
      <c r="V55">
        <f t="shared" si="38"/>
        <v>3373369.8800000004</v>
      </c>
      <c r="W55"/>
      <c r="X55">
        <v>4515381.9000000004</v>
      </c>
      <c r="Y55">
        <v>11781595.67</v>
      </c>
      <c r="Z55">
        <v>1142012.02</v>
      </c>
      <c r="AA55">
        <f t="shared" si="39"/>
        <v>12923607.689999999</v>
      </c>
      <c r="AB55">
        <v>17737761.690000001</v>
      </c>
      <c r="AC55">
        <f t="shared" si="40"/>
        <v>5266851.3899999969</v>
      </c>
      <c r="AD55">
        <v>23004613.079999998</v>
      </c>
      <c r="AE55" s="5">
        <f t="shared" si="41"/>
        <v>0.40888987093057411</v>
      </c>
      <c r="AF55" s="5">
        <f t="shared" si="42"/>
        <v>-0.56084895496772613</v>
      </c>
      <c r="AG55" s="5">
        <f t="shared" si="43"/>
        <v>-0.56677286830263895</v>
      </c>
      <c r="AH55" s="5">
        <f t="shared" si="44"/>
        <v>-0.13222880860554775</v>
      </c>
      <c r="AI55" s="7">
        <f t="shared" si="45"/>
        <v>18489231.18</v>
      </c>
    </row>
    <row r="56" spans="1:35" x14ac:dyDescent="0.4">
      <c r="A56" s="1">
        <v>2015</v>
      </c>
      <c r="B56" s="2" t="s">
        <v>39</v>
      </c>
      <c r="C56" s="13">
        <f t="shared" si="3"/>
        <v>8.7362144959430593E-2</v>
      </c>
      <c r="D56">
        <v>3518218.79</v>
      </c>
      <c r="E56">
        <v>-3043407.61</v>
      </c>
      <c r="F56">
        <f t="shared" si="36"/>
        <v>474811.18000000017</v>
      </c>
      <c r="G56">
        <v>695289.61</v>
      </c>
      <c r="H56">
        <f>-1761962.22-1155063.9</f>
        <v>-2917026.12</v>
      </c>
      <c r="I56"/>
      <c r="J56">
        <v>-2363824.1800000002</v>
      </c>
      <c r="K56">
        <v>-643204.29</v>
      </c>
      <c r="L56">
        <v>-4679940.4800000004</v>
      </c>
      <c r="M56"/>
      <c r="N56"/>
      <c r="O56">
        <v>-4215590.0199999996</v>
      </c>
      <c r="P56">
        <v>9968131.0800000001</v>
      </c>
      <c r="Q56">
        <v>3797958.35</v>
      </c>
      <c r="R56">
        <f t="shared" si="37"/>
        <v>5368586.8900000006</v>
      </c>
      <c r="S56">
        <v>85353.66</v>
      </c>
      <c r="T56">
        <v>9251898.9000000004</v>
      </c>
      <c r="U56">
        <v>19220029.98</v>
      </c>
      <c r="V56">
        <f t="shared" si="38"/>
        <v>2744652.8499999996</v>
      </c>
      <c r="W56"/>
      <c r="X56">
        <v>14042982.08</v>
      </c>
      <c r="Y56">
        <v>2804289.08</v>
      </c>
      <c r="Z56">
        <v>11298329.23</v>
      </c>
      <c r="AA56">
        <f t="shared" si="39"/>
        <v>14102618.310000001</v>
      </c>
      <c r="AB56">
        <v>18194434.890000001</v>
      </c>
      <c r="AC56">
        <f t="shared" si="40"/>
        <v>1025595.0899999999</v>
      </c>
      <c r="AD56">
        <v>19220029.98</v>
      </c>
      <c r="AE56" s="5">
        <f t="shared" si="41"/>
        <v>0.13495783188628815</v>
      </c>
      <c r="AF56" s="5">
        <f t="shared" si="42"/>
        <v>-1.3302016615061056</v>
      </c>
      <c r="AG56" s="5">
        <f t="shared" si="43"/>
        <v>-1.1982171296401949</v>
      </c>
      <c r="AH56" s="5">
        <f t="shared" si="44"/>
        <v>-0.21933316568114944</v>
      </c>
      <c r="AI56" s="7">
        <f t="shared" si="45"/>
        <v>5177047.9000000004</v>
      </c>
    </row>
    <row r="57" spans="1:35" x14ac:dyDescent="0.4">
      <c r="A57" s="1">
        <v>2016</v>
      </c>
      <c r="B57" s="2" t="s">
        <v>39</v>
      </c>
      <c r="C57" s="13">
        <f t="shared" si="3"/>
        <v>7.2911449868465622E-2</v>
      </c>
      <c r="D57">
        <v>3100079.12</v>
      </c>
      <c r="E57">
        <v>-2996245.21</v>
      </c>
      <c r="F57">
        <f t="shared" si="36"/>
        <v>103833.91000000015</v>
      </c>
      <c r="G57">
        <v>87467.76</v>
      </c>
      <c r="H57">
        <f>-2181747.21-1638292.51</f>
        <v>-3820039.7199999997</v>
      </c>
      <c r="I57"/>
      <c r="J57">
        <v>-3084947.03</v>
      </c>
      <c r="K57">
        <v>-627459.46</v>
      </c>
      <c r="L57">
        <v>-4679940.4800000004</v>
      </c>
      <c r="M57"/>
      <c r="N57"/>
      <c r="O57">
        <v>-4354847.5</v>
      </c>
      <c r="P57">
        <v>9000597.0899999999</v>
      </c>
      <c r="Q57">
        <v>3625780.84</v>
      </c>
      <c r="R57">
        <f t="shared" si="37"/>
        <v>2977185.25</v>
      </c>
      <c r="S57">
        <v>42948.54</v>
      </c>
      <c r="T57">
        <v>6645914.6299999999</v>
      </c>
      <c r="U57">
        <v>15646511.720000001</v>
      </c>
      <c r="V57">
        <f t="shared" si="38"/>
        <v>3222577.0699999984</v>
      </c>
      <c r="W57"/>
      <c r="X57">
        <v>16790359.289999999</v>
      </c>
      <c r="Y57">
        <v>1134094</v>
      </c>
      <c r="Z57">
        <v>13567782.220000001</v>
      </c>
      <c r="AA57">
        <f t="shared" si="39"/>
        <v>14701876.220000001</v>
      </c>
      <c r="AB57">
        <v>18913667.82</v>
      </c>
      <c r="AC57">
        <f t="shared" si="40"/>
        <v>-3267156.0999999996</v>
      </c>
      <c r="AD57">
        <v>15646511.720000001</v>
      </c>
      <c r="AE57" s="5">
        <f t="shared" si="41"/>
        <v>3.3493954825256252E-2</v>
      </c>
      <c r="AF57" s="5">
        <f t="shared" si="42"/>
        <v>-1.5096196899645582</v>
      </c>
      <c r="AG57" s="5">
        <f t="shared" si="43"/>
        <v>-1.4047536631903768</v>
      </c>
      <c r="AH57" s="5">
        <f t="shared" si="44"/>
        <v>-0.27832705320723078</v>
      </c>
      <c r="AI57" s="7">
        <f t="shared" si="45"/>
        <v>-1143847.5699999984</v>
      </c>
    </row>
    <row r="58" spans="1:35" x14ac:dyDescent="0.4">
      <c r="A58" s="1">
        <v>2017</v>
      </c>
      <c r="B58" s="2" t="s">
        <v>39</v>
      </c>
      <c r="C58" s="13">
        <f t="shared" si="3"/>
        <v>5.632191507295798E-2</v>
      </c>
      <c r="D58">
        <v>2324632.85</v>
      </c>
      <c r="E58">
        <v>-2462613.29</v>
      </c>
      <c r="F58">
        <f t="shared" si="36"/>
        <v>-137980.43999999994</v>
      </c>
      <c r="G58">
        <v>115909.34</v>
      </c>
      <c r="H58">
        <f>-694554.08-560417.56</f>
        <v>-1254971.6400000001</v>
      </c>
      <c r="I58"/>
      <c r="J58">
        <v>-1684373.45</v>
      </c>
      <c r="K58">
        <v>-716527.88</v>
      </c>
      <c r="L58">
        <v>-2631375.9300000002</v>
      </c>
      <c r="M58"/>
      <c r="N58">
        <v>-43766.36</v>
      </c>
      <c r="O58">
        <v>-2657142.29</v>
      </c>
      <c r="P58">
        <v>5439882.1500000004</v>
      </c>
      <c r="Q58">
        <v>2822283.38</v>
      </c>
      <c r="R58">
        <f t="shared" si="37"/>
        <v>2564723.2999999998</v>
      </c>
      <c r="S58">
        <v>98947.69</v>
      </c>
      <c r="T58">
        <v>5485954.3700000001</v>
      </c>
      <c r="U58">
        <v>10925836.52</v>
      </c>
      <c r="V58">
        <f t="shared" si="38"/>
        <v>4173055.34</v>
      </c>
      <c r="W58">
        <v>0</v>
      </c>
      <c r="X58">
        <v>19132430.57</v>
      </c>
      <c r="Y58">
        <v>0</v>
      </c>
      <c r="Z58">
        <v>14959375.23</v>
      </c>
      <c r="AA58">
        <f t="shared" si="39"/>
        <v>14959375.23</v>
      </c>
      <c r="AB58">
        <v>20110805.600000001</v>
      </c>
      <c r="AC58">
        <f t="shared" si="40"/>
        <v>-9184969.0800000019</v>
      </c>
      <c r="AD58">
        <v>10925836.52</v>
      </c>
      <c r="AE58" s="5">
        <f t="shared" si="41"/>
        <v>-5.9355798916805265E-2</v>
      </c>
      <c r="AF58" s="5">
        <f t="shared" si="42"/>
        <v>-1.1319533448045356</v>
      </c>
      <c r="AG58" s="5">
        <f t="shared" si="43"/>
        <v>-1.1430374005082136</v>
      </c>
      <c r="AH58" s="5">
        <f t="shared" si="44"/>
        <v>-0.24319806406914829</v>
      </c>
      <c r="AI58" s="7">
        <f t="shared" si="45"/>
        <v>-8206594.0500000007</v>
      </c>
    </row>
    <row r="59" spans="1:35" x14ac:dyDescent="0.4">
      <c r="A59" s="1">
        <v>2018</v>
      </c>
      <c r="B59" s="2" t="s">
        <v>39</v>
      </c>
      <c r="C59" s="13">
        <f t="shared" si="3"/>
        <v>8.5663685630354564E-2</v>
      </c>
      <c r="D59">
        <v>3070110.78</v>
      </c>
      <c r="E59">
        <v>-2349009.4300000002</v>
      </c>
      <c r="F59">
        <f t="shared" si="36"/>
        <v>721101.34999999963</v>
      </c>
      <c r="G59">
        <v>165848.01</v>
      </c>
      <c r="H59">
        <f>-551523.54-573820.63</f>
        <v>-1125344.17</v>
      </c>
      <c r="I59"/>
      <c r="J59">
        <f>-989832.41</f>
        <v>-989832.41</v>
      </c>
      <c r="K59">
        <v>-475447.54</v>
      </c>
      <c r="L59">
        <v>-1586990.75</v>
      </c>
      <c r="M59"/>
      <c r="N59"/>
      <c r="O59">
        <v>-1412351.06</v>
      </c>
      <c r="P59">
        <v>5318170.33</v>
      </c>
      <c r="Q59">
        <v>2822283.38</v>
      </c>
      <c r="R59">
        <f t="shared" si="37"/>
        <v>1726375.2600000007</v>
      </c>
      <c r="S59">
        <v>117259.34</v>
      </c>
      <c r="T59">
        <v>4665917.9800000004</v>
      </c>
      <c r="U59">
        <v>9984088.3100000005</v>
      </c>
      <c r="V59">
        <f t="shared" si="38"/>
        <v>4619147.34</v>
      </c>
      <c r="W59"/>
      <c r="X59">
        <v>19792963.66</v>
      </c>
      <c r="Y59"/>
      <c r="Z59">
        <v>15173816.32</v>
      </c>
      <c r="AA59">
        <f t="shared" si="39"/>
        <v>15173816.32</v>
      </c>
      <c r="AB59">
        <v>20581408.440000001</v>
      </c>
      <c r="AC59">
        <f t="shared" si="40"/>
        <v>-10597320.130000001</v>
      </c>
      <c r="AD59">
        <v>9984088.3100000005</v>
      </c>
      <c r="AE59" s="5">
        <f t="shared" si="41"/>
        <v>0.23487795772633313</v>
      </c>
      <c r="AF59" s="5">
        <f t="shared" si="42"/>
        <v>-0.51691644494991162</v>
      </c>
      <c r="AG59" s="5">
        <f t="shared" si="43"/>
        <v>-0.46003260507752758</v>
      </c>
      <c r="AH59" s="5">
        <f t="shared" si="44"/>
        <v>-0.1414601930739533</v>
      </c>
      <c r="AI59" s="7">
        <f t="shared" si="45"/>
        <v>-9808875.3499999996</v>
      </c>
    </row>
    <row r="60" spans="1:35" x14ac:dyDescent="0.4">
      <c r="A60" s="1">
        <v>2019</v>
      </c>
      <c r="B60" s="2" t="s">
        <v>39</v>
      </c>
      <c r="C60" s="13">
        <f t="shared" si="3"/>
        <v>7.4878572963423332E-2</v>
      </c>
      <c r="D60">
        <v>3186946.5</v>
      </c>
      <c r="E60">
        <v>-1519590.3</v>
      </c>
      <c r="F60">
        <f t="shared" si="36"/>
        <v>1667356.2</v>
      </c>
      <c r="G60">
        <v>160945.56</v>
      </c>
      <c r="H60">
        <f>-569016.45-1392144.8</f>
        <v>-1961161.25</v>
      </c>
      <c r="I60"/>
      <c r="J60">
        <v>-363388.51</v>
      </c>
      <c r="K60">
        <v>-377656.64</v>
      </c>
      <c r="L60">
        <v>-876904.61</v>
      </c>
      <c r="M60"/>
      <c r="N60"/>
      <c r="O60">
        <v>-810876.83</v>
      </c>
      <c r="P60">
        <v>5269842.7</v>
      </c>
      <c r="Q60">
        <v>1870663.6</v>
      </c>
      <c r="R60">
        <f t="shared" si="37"/>
        <v>2324044.77</v>
      </c>
      <c r="S60">
        <v>134371.49</v>
      </c>
      <c r="T60">
        <v>4329079.8600000003</v>
      </c>
      <c r="U60">
        <v>9598922.5600000005</v>
      </c>
      <c r="V60">
        <f t="shared" si="38"/>
        <v>4999776.6599999983</v>
      </c>
      <c r="W60"/>
      <c r="X60">
        <v>20249645.239999998</v>
      </c>
      <c r="Y60"/>
      <c r="Z60">
        <v>15249868.58</v>
      </c>
      <c r="AA60">
        <f t="shared" si="39"/>
        <v>15249868.58</v>
      </c>
      <c r="AB60">
        <v>20932529.52</v>
      </c>
      <c r="AC60">
        <f t="shared" si="40"/>
        <v>-11333606.959999999</v>
      </c>
      <c r="AD60">
        <v>9598922.5600000005</v>
      </c>
      <c r="AE60" s="5">
        <f t="shared" si="41"/>
        <v>0.52318299036397375</v>
      </c>
      <c r="AF60" s="5">
        <f t="shared" si="42"/>
        <v>-0.27515510850276276</v>
      </c>
      <c r="AG60" s="5">
        <f t="shared" si="43"/>
        <v>-0.25443691320202583</v>
      </c>
      <c r="AH60" s="5">
        <f t="shared" si="44"/>
        <v>-8.4475817460913025E-2</v>
      </c>
      <c r="AI60" s="7">
        <f t="shared" si="45"/>
        <v>-10650722.679999998</v>
      </c>
    </row>
    <row r="61" spans="1:35" x14ac:dyDescent="0.4">
      <c r="A61" s="1">
        <v>2020</v>
      </c>
      <c r="B61" s="2" t="s">
        <v>39</v>
      </c>
      <c r="C61" s="13">
        <f t="shared" si="3"/>
        <v>3.3741277608833602E-2</v>
      </c>
      <c r="D61">
        <v>1495961.66</v>
      </c>
      <c r="E61" s="11">
        <v>-1086788.3400000001</v>
      </c>
      <c r="F61">
        <f t="shared" si="36"/>
        <v>409173.31999999983</v>
      </c>
      <c r="G61">
        <v>152637.19</v>
      </c>
      <c r="H61">
        <f>-390714.95-871229.15</f>
        <v>-1261944.1000000001</v>
      </c>
      <c r="I61"/>
      <c r="J61">
        <v>-1624713.94</v>
      </c>
      <c r="K61">
        <v>-652742.9</v>
      </c>
      <c r="L61">
        <v>-2413847</v>
      </c>
      <c r="M61"/>
      <c r="N61"/>
      <c r="O61">
        <v>-2313847</v>
      </c>
      <c r="P61">
        <v>3796373.19</v>
      </c>
      <c r="Q61">
        <v>1650222.02</v>
      </c>
      <c r="R61">
        <f t="shared" si="37"/>
        <v>2318283.58</v>
      </c>
      <c r="S61">
        <v>149100.85999999999</v>
      </c>
      <c r="T61">
        <v>4117606.46</v>
      </c>
      <c r="U61">
        <v>7913979.6500000004</v>
      </c>
      <c r="V61">
        <f t="shared" si="38"/>
        <v>5629963.7000000011</v>
      </c>
      <c r="W61"/>
      <c r="X61">
        <v>21459059.73</v>
      </c>
      <c r="Y61"/>
      <c r="Z61">
        <v>15829096.029999999</v>
      </c>
      <c r="AA61">
        <f t="shared" si="39"/>
        <v>15829096.029999999</v>
      </c>
      <c r="AB61">
        <v>22130784.350000001</v>
      </c>
      <c r="AC61">
        <f t="shared" si="40"/>
        <v>-14216804.700000001</v>
      </c>
      <c r="AD61">
        <v>7913979.6500000004</v>
      </c>
      <c r="AE61" s="5">
        <f t="shared" si="41"/>
        <v>0.27351858736807455</v>
      </c>
      <c r="AF61" s="5">
        <f t="shared" si="42"/>
        <v>-1.6135754441728141</v>
      </c>
      <c r="AG61" s="5">
        <f t="shared" si="43"/>
        <v>-1.5467288112183304</v>
      </c>
      <c r="AH61" s="5">
        <f t="shared" si="44"/>
        <v>-0.2923746461743808</v>
      </c>
      <c r="AI61" s="7">
        <f t="shared" si="45"/>
        <v>-13545080.08</v>
      </c>
    </row>
    <row r="62" spans="1:35" x14ac:dyDescent="0.4">
      <c r="A62" s="1">
        <v>2011</v>
      </c>
      <c r="B62" s="2" t="s">
        <v>41</v>
      </c>
      <c r="C62" s="13">
        <f t="shared" si="3"/>
        <v>0.12116220388934874</v>
      </c>
      <c r="D62">
        <v>3915304.88</v>
      </c>
      <c r="E62" s="11">
        <v>-2348247.54</v>
      </c>
      <c r="F62">
        <f t="shared" ref="F62:F71" si="46">D62+E62</f>
        <v>1567057.3399999999</v>
      </c>
      <c r="G62">
        <v>7631.08</v>
      </c>
      <c r="H62">
        <f>-840800.38</f>
        <v>-840800.38</v>
      </c>
      <c r="I62"/>
      <c r="J62">
        <v>733888.08</v>
      </c>
      <c r="K62">
        <v>-9682.17</v>
      </c>
      <c r="L62">
        <v>724205.91</v>
      </c>
      <c r="M62"/>
      <c r="N62"/>
      <c r="O62">
        <v>831124.57</v>
      </c>
      <c r="P62">
        <v>22886.43</v>
      </c>
      <c r="Q62">
        <v>1594145.43</v>
      </c>
      <c r="R62" s="11">
        <f t="shared" ref="R62:R71" si="47">T62-S62-Q62</f>
        <v>1945199.3500000003</v>
      </c>
      <c r="S62">
        <f>22588.49+793552.47</f>
        <v>816140.96</v>
      </c>
      <c r="T62">
        <v>4355485.74</v>
      </c>
      <c r="U62">
        <v>4378372.6399999997</v>
      </c>
      <c r="V62" s="12">
        <f t="shared" ref="V62:V71" si="48">X62-W62-Z62</f>
        <v>1936356.6400000001</v>
      </c>
      <c r="W62">
        <f>219306.2+102218.63</f>
        <v>321524.83</v>
      </c>
      <c r="X62">
        <f>AB62</f>
        <v>2257881.4700000002</v>
      </c>
      <c r="Y62"/>
      <c r="Z62"/>
      <c r="AA62">
        <f t="shared" ref="AA62:AA71" si="49">Y62+Z62</f>
        <v>0</v>
      </c>
      <c r="AB62">
        <v>2257881.4700000002</v>
      </c>
      <c r="AC62" s="12">
        <f t="shared" ref="AC62:AC71" si="50">AD62-AB62</f>
        <v>2120491.1699999995</v>
      </c>
      <c r="AD62">
        <f>U62</f>
        <v>4378372.6399999997</v>
      </c>
      <c r="AE62" s="5">
        <f t="shared" ref="AE62:AE71" si="51">F62/D62</f>
        <v>0.40023890553320074</v>
      </c>
      <c r="AF62" s="5">
        <f t="shared" ref="AF62:AF71" si="52">L62/D62</f>
        <v>0.18496794814098871</v>
      </c>
      <c r="AG62" s="5">
        <f t="shared" ref="AG62:AG71" si="53">O62/D62</f>
        <v>0.2122758240987864</v>
      </c>
      <c r="AH62" s="5">
        <f t="shared" ref="AH62:AH71" si="54">O62/U62</f>
        <v>0.18982499625705682</v>
      </c>
      <c r="AI62" s="7">
        <f t="shared" ref="AI62:AI71" si="55">U62-X62</f>
        <v>2120491.1699999995</v>
      </c>
    </row>
    <row r="63" spans="1:35" x14ac:dyDescent="0.4">
      <c r="A63" s="1">
        <v>2012</v>
      </c>
      <c r="B63" s="2" t="s">
        <v>41</v>
      </c>
      <c r="C63" s="13">
        <f t="shared" si="3"/>
        <v>0.11200382510597567</v>
      </c>
      <c r="D63">
        <v>3407710.25</v>
      </c>
      <c r="E63" s="11">
        <v>-1868962.06</v>
      </c>
      <c r="F63">
        <f t="shared" si="46"/>
        <v>1538748.19</v>
      </c>
      <c r="G63">
        <v>4816.75</v>
      </c>
      <c r="H63">
        <f>-595190.99</f>
        <v>-595190.99</v>
      </c>
      <c r="I63"/>
      <c r="J63">
        <v>948373.95</v>
      </c>
      <c r="K63">
        <v>-3955.99</v>
      </c>
      <c r="L63">
        <v>952329.94</v>
      </c>
      <c r="M63"/>
      <c r="N63"/>
      <c r="O63">
        <v>969967.74</v>
      </c>
      <c r="P63">
        <v>15954.95</v>
      </c>
      <c r="Q63">
        <v>1819668.29</v>
      </c>
      <c r="R63" s="11">
        <f t="shared" si="47"/>
        <v>1898356.8699999996</v>
      </c>
      <c r="S63">
        <f>34120+654748.77</f>
        <v>688868.77</v>
      </c>
      <c r="T63">
        <v>4406893.93</v>
      </c>
      <c r="U63">
        <v>4422849.3499999996</v>
      </c>
      <c r="V63" s="12">
        <f t="shared" si="48"/>
        <v>1375405.1</v>
      </c>
      <c r="W63">
        <f>69706+102531.19</f>
        <v>172237.19</v>
      </c>
      <c r="X63">
        <f>AB63</f>
        <v>1547642.29</v>
      </c>
      <c r="Y63"/>
      <c r="Z63"/>
      <c r="AA63">
        <f t="shared" si="49"/>
        <v>0</v>
      </c>
      <c r="AB63">
        <v>1547642.29</v>
      </c>
      <c r="AC63" s="12">
        <f t="shared" si="50"/>
        <v>2875207.0599999996</v>
      </c>
      <c r="AD63">
        <f>U63</f>
        <v>4422849.3499999996</v>
      </c>
      <c r="AE63" s="5">
        <f t="shared" si="51"/>
        <v>0.45154901007208575</v>
      </c>
      <c r="AF63" s="5">
        <f t="shared" si="52"/>
        <v>0.27946329650532931</v>
      </c>
      <c r="AG63" s="5">
        <f t="shared" si="53"/>
        <v>0.28463914735708529</v>
      </c>
      <c r="AH63" s="5">
        <f t="shared" si="54"/>
        <v>0.21930833796091204</v>
      </c>
      <c r="AI63" s="7">
        <f t="shared" si="55"/>
        <v>2875207.0599999996</v>
      </c>
    </row>
    <row r="64" spans="1:35" x14ac:dyDescent="0.4">
      <c r="A64" s="1">
        <v>2013</v>
      </c>
      <c r="B64" s="2" t="s">
        <v>41</v>
      </c>
      <c r="C64" s="13">
        <f t="shared" si="3"/>
        <v>0.1063476557121539</v>
      </c>
      <c r="D64">
        <v>4420512.93</v>
      </c>
      <c r="E64" s="11">
        <v>-2372821.56</v>
      </c>
      <c r="F64">
        <f t="shared" si="46"/>
        <v>2047691.3699999996</v>
      </c>
      <c r="G64">
        <v>76870</v>
      </c>
      <c r="H64">
        <f>-497021.7</f>
        <v>-497021.7</v>
      </c>
      <c r="I64"/>
      <c r="J64">
        <v>1627540.44</v>
      </c>
      <c r="K64">
        <v>-21322.15</v>
      </c>
      <c r="L64">
        <v>1648862.59</v>
      </c>
      <c r="M64"/>
      <c r="N64"/>
      <c r="O64">
        <v>1686927.63</v>
      </c>
      <c r="P64">
        <v>29791.52</v>
      </c>
      <c r="Q64">
        <v>1725449.93</v>
      </c>
      <c r="R64" s="11">
        <f t="shared" si="47"/>
        <v>2033851.34</v>
      </c>
      <c r="S64">
        <f>19347+1995309.19</f>
        <v>2014656.19</v>
      </c>
      <c r="T64">
        <v>5773957.46</v>
      </c>
      <c r="U64">
        <v>5803749.4500000002</v>
      </c>
      <c r="V64" s="12">
        <f t="shared" si="48"/>
        <v>1760650.4400000002</v>
      </c>
      <c r="W64">
        <f>669933.22-42663.73</f>
        <v>627269.49</v>
      </c>
      <c r="X64">
        <v>2387919.9300000002</v>
      </c>
      <c r="Y64"/>
      <c r="Z64"/>
      <c r="AA64">
        <f t="shared" si="49"/>
        <v>0</v>
      </c>
      <c r="AB64">
        <f>X64</f>
        <v>2387919.9300000002</v>
      </c>
      <c r="AC64" s="12">
        <f t="shared" si="50"/>
        <v>3415829.52</v>
      </c>
      <c r="AD64">
        <f>U64</f>
        <v>5803749.4500000002</v>
      </c>
      <c r="AE64" s="5">
        <f t="shared" si="51"/>
        <v>0.46322483440852641</v>
      </c>
      <c r="AF64" s="5">
        <f t="shared" si="52"/>
        <v>0.37300254882412487</v>
      </c>
      <c r="AG64" s="5">
        <f t="shared" si="53"/>
        <v>0.38161354953892196</v>
      </c>
      <c r="AH64" s="5">
        <f t="shared" si="54"/>
        <v>0.29066169112451951</v>
      </c>
      <c r="AI64" s="7">
        <f t="shared" si="55"/>
        <v>3415829.52</v>
      </c>
    </row>
    <row r="65" spans="1:35" x14ac:dyDescent="0.4">
      <c r="A65" s="1">
        <v>2014</v>
      </c>
      <c r="B65" s="2" t="s">
        <v>41</v>
      </c>
      <c r="C65" s="13">
        <f t="shared" si="3"/>
        <v>9.1693794562769673E-2</v>
      </c>
      <c r="D65">
        <v>4110911.95</v>
      </c>
      <c r="E65" s="11">
        <v>-2113932.38</v>
      </c>
      <c r="F65">
        <f t="shared" si="46"/>
        <v>1996979.5700000003</v>
      </c>
      <c r="G65">
        <v>4244.67</v>
      </c>
      <c r="H65">
        <f>-97386.63-401963.84</f>
        <v>-499350.47000000003</v>
      </c>
      <c r="I65"/>
      <c r="J65">
        <v>1496344.94</v>
      </c>
      <c r="K65">
        <v>-2184.13</v>
      </c>
      <c r="L65">
        <v>1522740.57</v>
      </c>
      <c r="M65"/>
      <c r="N65">
        <v>-398508.66</v>
      </c>
      <c r="O65">
        <v>1124231.9099999999</v>
      </c>
      <c r="P65">
        <v>36767.58</v>
      </c>
      <c r="Q65">
        <v>1979367.97</v>
      </c>
      <c r="R65" s="11">
        <f t="shared" si="47"/>
        <v>1267463.9100000004</v>
      </c>
      <c r="S65">
        <v>2237111.7799999998</v>
      </c>
      <c r="T65">
        <v>5483943.6600000001</v>
      </c>
      <c r="U65">
        <v>5520711.2400000002</v>
      </c>
      <c r="V65" s="12">
        <f t="shared" si="48"/>
        <v>1255362.9300000002</v>
      </c>
      <c r="W65">
        <f>230320.95+74824.22</f>
        <v>305145.17000000004</v>
      </c>
      <c r="X65">
        <v>1560508.1</v>
      </c>
      <c r="Y65"/>
      <c r="Z65"/>
      <c r="AA65">
        <f t="shared" si="49"/>
        <v>0</v>
      </c>
      <c r="AB65">
        <v>1560508.1</v>
      </c>
      <c r="AC65" s="12">
        <f t="shared" si="50"/>
        <v>3960203.14</v>
      </c>
      <c r="AD65">
        <v>5520711.2400000002</v>
      </c>
      <c r="AE65" s="5">
        <f t="shared" si="51"/>
        <v>0.48577532048576233</v>
      </c>
      <c r="AF65" s="5">
        <f t="shared" si="52"/>
        <v>0.37041429943543308</v>
      </c>
      <c r="AG65" s="5">
        <f t="shared" si="53"/>
        <v>0.27347506433456931</v>
      </c>
      <c r="AH65" s="5">
        <f t="shared" si="54"/>
        <v>0.20363896264931253</v>
      </c>
      <c r="AI65" s="7">
        <f t="shared" si="55"/>
        <v>3960203.14</v>
      </c>
    </row>
    <row r="66" spans="1:35" x14ac:dyDescent="0.4">
      <c r="A66" s="1">
        <v>2015</v>
      </c>
      <c r="B66" s="2" t="s">
        <v>41</v>
      </c>
      <c r="C66" s="13">
        <f t="shared" ref="C66:C71" si="56">D66/SUMIF($A$2:$A$61,A66,$D$2:$D$61)</f>
        <v>8.5698470892939332E-2</v>
      </c>
      <c r="D66">
        <v>3451219.87</v>
      </c>
      <c r="E66" s="11">
        <v>-1911937.9</v>
      </c>
      <c r="F66">
        <f t="shared" si="46"/>
        <v>1539281.9700000002</v>
      </c>
      <c r="G66">
        <v>3603.32</v>
      </c>
      <c r="H66">
        <f>-199655-424427.37</f>
        <v>-624082.37</v>
      </c>
      <c r="I66"/>
      <c r="J66">
        <v>947231.7</v>
      </c>
      <c r="K66">
        <v>-2430.75</v>
      </c>
      <c r="L66">
        <v>972408.25</v>
      </c>
      <c r="M66"/>
      <c r="N66">
        <v>-287087.08</v>
      </c>
      <c r="O66">
        <v>685321.17</v>
      </c>
      <c r="P66">
        <v>45451.06</v>
      </c>
      <c r="Q66">
        <v>1952479.78</v>
      </c>
      <c r="R66" s="11">
        <f t="shared" si="47"/>
        <v>1355169.66</v>
      </c>
      <c r="S66" s="14">
        <v>2171643.0699999998</v>
      </c>
      <c r="T66">
        <v>5479292.5099999998</v>
      </c>
      <c r="U66">
        <v>5524743.5700000003</v>
      </c>
      <c r="V66" s="12">
        <f t="shared" si="48"/>
        <v>769441.51</v>
      </c>
      <c r="W66">
        <f>67982.44+41795.31</f>
        <v>109777.75</v>
      </c>
      <c r="X66">
        <v>879219.26</v>
      </c>
      <c r="Y66"/>
      <c r="Z66"/>
      <c r="AA66">
        <f t="shared" si="49"/>
        <v>0</v>
      </c>
      <c r="AB66" s="12">
        <v>879219.26</v>
      </c>
      <c r="AC66" s="12">
        <f t="shared" si="50"/>
        <v>4645524.3100000005</v>
      </c>
      <c r="AD66">
        <v>5524743.5700000003</v>
      </c>
      <c r="AE66" s="5">
        <f t="shared" si="51"/>
        <v>0.4460109839365291</v>
      </c>
      <c r="AF66" s="5">
        <f t="shared" si="52"/>
        <v>0.28175783827994705</v>
      </c>
      <c r="AG66" s="5">
        <f t="shared" si="53"/>
        <v>0.19857360464258106</v>
      </c>
      <c r="AH66" s="5">
        <f t="shared" si="54"/>
        <v>0.12404578806541786</v>
      </c>
      <c r="AI66" s="7">
        <f t="shared" si="55"/>
        <v>4645524.3100000005</v>
      </c>
    </row>
    <row r="67" spans="1:35" x14ac:dyDescent="0.4">
      <c r="A67" s="1">
        <v>2016</v>
      </c>
      <c r="B67" s="2" t="s">
        <v>41</v>
      </c>
      <c r="C67" s="13">
        <f t="shared" si="56"/>
        <v>8.6285440174500821E-2</v>
      </c>
      <c r="D67">
        <v>3668719.96</v>
      </c>
      <c r="E67" s="11">
        <v>-2084244.45</v>
      </c>
      <c r="F67">
        <f t="shared" si="46"/>
        <v>1584475.51</v>
      </c>
      <c r="G67">
        <v>3680.71</v>
      </c>
      <c r="H67">
        <f>-258559.26-726008.96</f>
        <v>-984568.22</v>
      </c>
      <c r="I67"/>
      <c r="J67">
        <v>597818.26</v>
      </c>
      <c r="K67">
        <v>-1515.38</v>
      </c>
      <c r="L67">
        <v>598449.65</v>
      </c>
      <c r="M67"/>
      <c r="N67"/>
      <c r="O67">
        <v>423864.28</v>
      </c>
      <c r="P67">
        <v>35666.39</v>
      </c>
      <c r="Q67">
        <v>2021188.14</v>
      </c>
      <c r="R67" s="11">
        <f t="shared" si="47"/>
        <v>2415170.9299999997</v>
      </c>
      <c r="S67">
        <v>1283280.45</v>
      </c>
      <c r="T67">
        <v>5719639.5199999996</v>
      </c>
      <c r="U67">
        <v>5755305.9100000001</v>
      </c>
      <c r="V67" s="12">
        <f t="shared" si="48"/>
        <v>2457930.58</v>
      </c>
      <c r="W67">
        <f>82088+45898.74</f>
        <v>127986.73999999999</v>
      </c>
      <c r="X67">
        <v>2585917.3199999998</v>
      </c>
      <c r="Y67"/>
      <c r="Z67"/>
      <c r="AA67">
        <f t="shared" si="49"/>
        <v>0</v>
      </c>
      <c r="AB67">
        <v>2585917.3199999998</v>
      </c>
      <c r="AC67" s="12">
        <f t="shared" si="50"/>
        <v>3169388.5900000003</v>
      </c>
      <c r="AD67">
        <v>5755305.9100000001</v>
      </c>
      <c r="AE67" s="5">
        <f t="shared" si="51"/>
        <v>0.4318878320709984</v>
      </c>
      <c r="AF67" s="5">
        <f t="shared" si="52"/>
        <v>0.16312219425982027</v>
      </c>
      <c r="AG67" s="5">
        <f t="shared" si="53"/>
        <v>0.11553465094675693</v>
      </c>
      <c r="AH67" s="5">
        <f t="shared" si="54"/>
        <v>7.3647567414883083E-2</v>
      </c>
      <c r="AI67" s="7">
        <f t="shared" si="55"/>
        <v>3169388.5900000003</v>
      </c>
    </row>
    <row r="68" spans="1:35" x14ac:dyDescent="0.4">
      <c r="A68" s="1">
        <v>2017</v>
      </c>
      <c r="B68" s="2" t="s">
        <v>41</v>
      </c>
      <c r="C68" s="13">
        <f t="shared" si="56"/>
        <v>9.1404938160475971E-2</v>
      </c>
      <c r="D68">
        <v>3772650.87</v>
      </c>
      <c r="E68" s="11">
        <v>-2281724.2200000002</v>
      </c>
      <c r="F68">
        <f t="shared" si="46"/>
        <v>1490926.65</v>
      </c>
      <c r="G68">
        <v>3843.76</v>
      </c>
      <c r="H68">
        <f>-202388.09-907134.67</f>
        <v>-1109522.76</v>
      </c>
      <c r="I68"/>
      <c r="J68">
        <v>390147.85</v>
      </c>
      <c r="K68">
        <v>-1686.54</v>
      </c>
      <c r="L68">
        <v>388842.52</v>
      </c>
      <c r="M68"/>
      <c r="N68">
        <v>-113772.49</v>
      </c>
      <c r="O68">
        <v>275070.03000000003</v>
      </c>
      <c r="P68">
        <v>138755.9</v>
      </c>
      <c r="Q68">
        <v>2185424.58</v>
      </c>
      <c r="R68" s="11">
        <f t="shared" si="47"/>
        <v>3319211.5199999996</v>
      </c>
      <c r="S68">
        <v>596012.04</v>
      </c>
      <c r="T68">
        <v>6100648.1399999997</v>
      </c>
      <c r="U68">
        <v>6239404</v>
      </c>
      <c r="V68" s="12">
        <f t="shared" si="48"/>
        <v>2547309.81</v>
      </c>
      <c r="W68">
        <f>51334.95+196300.66</f>
        <v>247635.61</v>
      </c>
      <c r="X68">
        <v>2794945.42</v>
      </c>
      <c r="Y68"/>
      <c r="Z68"/>
      <c r="AA68">
        <f t="shared" si="49"/>
        <v>0</v>
      </c>
      <c r="AB68">
        <v>2794945.42</v>
      </c>
      <c r="AC68" s="12">
        <f t="shared" si="50"/>
        <v>3444458.62</v>
      </c>
      <c r="AD68" s="12">
        <v>6239404.04</v>
      </c>
      <c r="AE68" s="5">
        <f t="shared" si="51"/>
        <v>0.395193380298135</v>
      </c>
      <c r="AF68" s="5">
        <f t="shared" si="52"/>
        <v>0.10306877932757133</v>
      </c>
      <c r="AG68" s="5">
        <f t="shared" si="53"/>
        <v>7.2911604990365836E-2</v>
      </c>
      <c r="AH68" s="5">
        <f t="shared" si="54"/>
        <v>4.408594635000395E-2</v>
      </c>
      <c r="AI68" s="7">
        <f t="shared" si="55"/>
        <v>3444458.58</v>
      </c>
    </row>
    <row r="69" spans="1:35" x14ac:dyDescent="0.4">
      <c r="A69" s="1">
        <v>2018</v>
      </c>
      <c r="B69" s="2" t="s">
        <v>41</v>
      </c>
      <c r="C69" s="13">
        <f t="shared" si="56"/>
        <v>0.1072967037700519</v>
      </c>
      <c r="D69">
        <v>3845419.03</v>
      </c>
      <c r="E69" s="11">
        <v>-2427540.27</v>
      </c>
      <c r="F69">
        <f t="shared" si="46"/>
        <v>1417878.7599999998</v>
      </c>
      <c r="G69">
        <v>4652.72</v>
      </c>
      <c r="H69">
        <f>-218323.83-799023.93</f>
        <v>-1017347.76</v>
      </c>
      <c r="I69"/>
      <c r="J69">
        <v>465892.34</v>
      </c>
      <c r="K69">
        <v>-2149.4</v>
      </c>
      <c r="L69">
        <v>464035.55</v>
      </c>
      <c r="M69"/>
      <c r="N69">
        <v>-136158.51</v>
      </c>
      <c r="O69">
        <v>327877.03999999998</v>
      </c>
      <c r="P69">
        <v>120856.28</v>
      </c>
      <c r="Q69">
        <v>2171398.7400000002</v>
      </c>
      <c r="R69" s="11">
        <f t="shared" si="47"/>
        <v>3219913.2199999997</v>
      </c>
      <c r="S69">
        <v>816249.67</v>
      </c>
      <c r="T69">
        <v>6207561.6299999999</v>
      </c>
      <c r="U69">
        <v>6328417.9100000001</v>
      </c>
      <c r="V69" s="12">
        <f t="shared" si="48"/>
        <v>2426485.4</v>
      </c>
      <c r="W69">
        <f>51126.97+78469.88</f>
        <v>129596.85</v>
      </c>
      <c r="X69">
        <v>2556082.25</v>
      </c>
      <c r="Y69"/>
      <c r="Z69"/>
      <c r="AA69">
        <f t="shared" si="49"/>
        <v>0</v>
      </c>
      <c r="AB69">
        <v>2556082.25</v>
      </c>
      <c r="AC69" s="12">
        <f t="shared" si="50"/>
        <v>3772335.66</v>
      </c>
      <c r="AD69" s="12">
        <f>U69</f>
        <v>6328417.9100000001</v>
      </c>
      <c r="AE69" s="5">
        <f t="shared" si="51"/>
        <v>0.36871892216126051</v>
      </c>
      <c r="AF69" s="5">
        <f t="shared" si="52"/>
        <v>0.12067229770795616</v>
      </c>
      <c r="AG69" s="5">
        <f t="shared" si="53"/>
        <v>8.5264320335981691E-2</v>
      </c>
      <c r="AH69" s="5">
        <f t="shared" si="54"/>
        <v>5.18102699067799E-2</v>
      </c>
      <c r="AI69" s="7">
        <f t="shared" si="55"/>
        <v>3772335.66</v>
      </c>
    </row>
    <row r="70" spans="1:35" x14ac:dyDescent="0.4">
      <c r="A70" s="1">
        <v>2019</v>
      </c>
      <c r="B70" s="2" t="s">
        <v>41</v>
      </c>
      <c r="C70" s="13">
        <f t="shared" si="56"/>
        <v>8.3340224239555949E-2</v>
      </c>
      <c r="D70">
        <v>3547087.31</v>
      </c>
      <c r="E70" s="11">
        <v>-2061670.22</v>
      </c>
      <c r="F70">
        <f t="shared" si="46"/>
        <v>1485417.09</v>
      </c>
      <c r="G70">
        <v>4319.84</v>
      </c>
      <c r="H70">
        <f>-421431.75-766890.04</f>
        <v>-1188321.79</v>
      </c>
      <c r="I70"/>
      <c r="J70">
        <v>389728.8</v>
      </c>
      <c r="K70">
        <v>-2998.86</v>
      </c>
      <c r="L70">
        <v>387761.83</v>
      </c>
      <c r="M70"/>
      <c r="N70">
        <v>-101395.81</v>
      </c>
      <c r="O70">
        <v>592222.42000000004</v>
      </c>
      <c r="P70">
        <v>103568.84</v>
      </c>
      <c r="Q70">
        <v>2510775.98</v>
      </c>
      <c r="R70" s="11">
        <f t="shared" si="47"/>
        <v>2784286.2600000002</v>
      </c>
      <c r="S70">
        <v>877330</v>
      </c>
      <c r="T70">
        <v>6172392.2400000002</v>
      </c>
      <c r="U70">
        <v>6275961.0800000001</v>
      </c>
      <c r="V70" s="12">
        <f t="shared" si="48"/>
        <v>2090372.92</v>
      </c>
      <c r="W70">
        <f>76840.74+50045.74</f>
        <v>126886.48000000001</v>
      </c>
      <c r="X70">
        <v>2217259.4</v>
      </c>
      <c r="Y70"/>
      <c r="Z70"/>
      <c r="AA70">
        <f t="shared" si="49"/>
        <v>0</v>
      </c>
      <c r="AB70">
        <v>2217259.4</v>
      </c>
      <c r="AC70">
        <f t="shared" si="50"/>
        <v>4058701.68</v>
      </c>
      <c r="AD70" s="12">
        <f>U70</f>
        <v>6275961.0800000001</v>
      </c>
      <c r="AE70" s="5">
        <f t="shared" si="51"/>
        <v>0.4187709408258124</v>
      </c>
      <c r="AF70" s="5">
        <f t="shared" si="52"/>
        <v>0.10931837761839587</v>
      </c>
      <c r="AG70" s="5">
        <f t="shared" si="53"/>
        <v>0.16696020375094744</v>
      </c>
      <c r="AH70" s="5">
        <f t="shared" si="54"/>
        <v>9.4363622152991433E-2</v>
      </c>
      <c r="AI70" s="7">
        <f t="shared" si="55"/>
        <v>4058701.68</v>
      </c>
    </row>
    <row r="71" spans="1:35" x14ac:dyDescent="0.4">
      <c r="A71" s="1">
        <v>2020</v>
      </c>
      <c r="B71" s="2" t="s">
        <v>41</v>
      </c>
      <c r="C71" s="13">
        <f t="shared" si="56"/>
        <v>0.10355912672506276</v>
      </c>
      <c r="D71">
        <v>4591423.1500000004</v>
      </c>
      <c r="E71" s="11">
        <v>-2779294.07</v>
      </c>
      <c r="F71">
        <f t="shared" si="46"/>
        <v>1812129.0800000005</v>
      </c>
      <c r="G71">
        <v>3993.17</v>
      </c>
      <c r="H71">
        <f>-429927.57-686621.1</f>
        <v>-1116548.67</v>
      </c>
      <c r="I71"/>
      <c r="J71">
        <v>783242.64</v>
      </c>
      <c r="K71">
        <v>-2408.39</v>
      </c>
      <c r="L71">
        <v>781269.79</v>
      </c>
      <c r="M71"/>
      <c r="N71">
        <v>-189047.37</v>
      </c>
      <c r="O71">
        <v>592222.42000000004</v>
      </c>
      <c r="P71">
        <v>1000354.24</v>
      </c>
      <c r="Q71">
        <v>2233202.17</v>
      </c>
      <c r="R71" s="11">
        <f t="shared" si="47"/>
        <v>2882209.0200000005</v>
      </c>
      <c r="S71" s="11">
        <v>1748197.43</v>
      </c>
      <c r="T71" s="11">
        <v>6863608.6200000001</v>
      </c>
      <c r="U71" s="11">
        <v>6963962.8600000003</v>
      </c>
      <c r="V71" s="12">
        <f t="shared" si="48"/>
        <v>2121622.9499999997</v>
      </c>
      <c r="W71">
        <f>63524.58+79675.18+48216.05</f>
        <v>191415.81</v>
      </c>
      <c r="X71" s="11">
        <v>2313038.7599999998</v>
      </c>
      <c r="Y71"/>
      <c r="Z71"/>
      <c r="AA71">
        <f t="shared" si="49"/>
        <v>0</v>
      </c>
      <c r="AB71">
        <v>2313038.7599999998</v>
      </c>
      <c r="AC71">
        <f t="shared" si="50"/>
        <v>4650924.1000000006</v>
      </c>
      <c r="AD71" s="12">
        <f>U71</f>
        <v>6963962.8600000003</v>
      </c>
      <c r="AE71" s="5">
        <f t="shared" si="51"/>
        <v>0.39467699247018878</v>
      </c>
      <c r="AF71" s="5">
        <f t="shared" si="52"/>
        <v>0.17015852481381508</v>
      </c>
      <c r="AG71" s="5">
        <f t="shared" si="53"/>
        <v>0.12898450015438023</v>
      </c>
      <c r="AH71" s="5">
        <f t="shared" si="54"/>
        <v>8.5041007814909572E-2</v>
      </c>
      <c r="AI71" s="7">
        <f t="shared" si="55"/>
        <v>4650924.1000000006</v>
      </c>
    </row>
    <row r="73" spans="1:35" x14ac:dyDescent="0.4">
      <c r="E73" s="15"/>
    </row>
    <row r="74" spans="1:35" x14ac:dyDescent="0.4">
      <c r="E74" s="15"/>
    </row>
    <row r="75" spans="1:35" x14ac:dyDescent="0.4">
      <c r="E75" s="15"/>
    </row>
    <row r="76" spans="1:35" x14ac:dyDescent="0.4">
      <c r="E76" s="15"/>
    </row>
    <row r="77" spans="1:35" x14ac:dyDescent="0.4">
      <c r="E77" s="15"/>
    </row>
    <row r="78" spans="1:35" x14ac:dyDescent="0.4">
      <c r="E78" s="15"/>
    </row>
    <row r="79" spans="1:35" x14ac:dyDescent="0.4">
      <c r="E7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ΑΛΕΞΑΝΔΡΟΣ ΚΟΥΤΡΟΥΛΑΡΗΣ</dc:creator>
  <cp:lastModifiedBy>ΑΛΕΞΑΝΔΡΟΣ ΚΟΥΤΡΟΥΛΑΡΗΣ</cp:lastModifiedBy>
  <dcterms:created xsi:type="dcterms:W3CDTF">2015-06-05T18:19:34Z</dcterms:created>
  <dcterms:modified xsi:type="dcterms:W3CDTF">2023-02-19T16:22:55Z</dcterms:modified>
</cp:coreProperties>
</file>