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kout\OneDrive\Υπολογιστής\"/>
    </mc:Choice>
  </mc:AlternateContent>
  <xr:revisionPtr revIDLastSave="0" documentId="13_ncr:1_{118813CA-B653-419A-9CE0-F749B2E6EA47}" xr6:coauthVersionLast="47" xr6:coauthVersionMax="47" xr10:uidLastSave="{00000000-0000-0000-0000-000000000000}"/>
  <bookViews>
    <workbookView xWindow="32811" yWindow="-103" windowWidth="33120" windowHeight="1800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" i="2" l="1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B17" i="2" s="1"/>
  <c r="AC18" i="2"/>
  <c r="AB18" i="2" s="1"/>
  <c r="AC19" i="2"/>
  <c r="AB19" i="2" s="1"/>
  <c r="AC20" i="2"/>
  <c r="AB20" i="2" s="1"/>
  <c r="AC21" i="2"/>
  <c r="AC22" i="2"/>
  <c r="AC23" i="2"/>
  <c r="AC24" i="2"/>
  <c r="AC25" i="2"/>
  <c r="AC26" i="2"/>
  <c r="AC27" i="2"/>
  <c r="AC28" i="2"/>
  <c r="AC29" i="2"/>
  <c r="AC30" i="2"/>
  <c r="AC31" i="2"/>
  <c r="AC2" i="2"/>
  <c r="AG22" i="2"/>
  <c r="AG23" i="2"/>
  <c r="AG24" i="2"/>
  <c r="AG25" i="2"/>
  <c r="AG26" i="2"/>
  <c r="AG27" i="2"/>
  <c r="AG28" i="2"/>
  <c r="AG29" i="2"/>
  <c r="AG30" i="2"/>
  <c r="AG31" i="2"/>
  <c r="AF22" i="2"/>
  <c r="AF23" i="2"/>
  <c r="AF24" i="2"/>
  <c r="AF25" i="2"/>
  <c r="AF26" i="2"/>
  <c r="AF27" i="2"/>
  <c r="AF28" i="2"/>
  <c r="AF29" i="2"/>
  <c r="AF30" i="2"/>
  <c r="AF31" i="2"/>
  <c r="AE3" i="2"/>
  <c r="AE22" i="2"/>
  <c r="AE23" i="2"/>
  <c r="AE24" i="2"/>
  <c r="AE25" i="2"/>
  <c r="AE26" i="2"/>
  <c r="AE27" i="2"/>
  <c r="AE28" i="2"/>
  <c r="AE29" i="2"/>
  <c r="AE30" i="2"/>
  <c r="AE31" i="2"/>
  <c r="AE2" i="2"/>
  <c r="AD3" i="2"/>
  <c r="AD2" i="2"/>
  <c r="Z31" i="2"/>
  <c r="V31" i="2"/>
  <c r="U31" i="2" s="1"/>
  <c r="G31" i="2"/>
  <c r="E31" i="2"/>
  <c r="AD31" i="2" s="1"/>
  <c r="Z30" i="2"/>
  <c r="V30" i="2"/>
  <c r="U30" i="2" s="1"/>
  <c r="G30" i="2"/>
  <c r="E30" i="2"/>
  <c r="AD30" i="2" s="1"/>
  <c r="Z29" i="2"/>
  <c r="V29" i="2"/>
  <c r="U29" i="2" s="1"/>
  <c r="G29" i="2"/>
  <c r="E29" i="2"/>
  <c r="AD29" i="2" s="1"/>
  <c r="Z28" i="2"/>
  <c r="V28" i="2"/>
  <c r="U28" i="2" s="1"/>
  <c r="G28" i="2"/>
  <c r="E28" i="2"/>
  <c r="AD28" i="2" s="1"/>
  <c r="Z27" i="2"/>
  <c r="V27" i="2"/>
  <c r="U27" i="2" s="1"/>
  <c r="Q27" i="2"/>
  <c r="G27" i="2"/>
  <c r="E27" i="2"/>
  <c r="AD27" i="2" s="1"/>
  <c r="Z26" i="2"/>
  <c r="V26" i="2"/>
  <c r="U26" i="2" s="1"/>
  <c r="Q26" i="2"/>
  <c r="G26" i="2"/>
  <c r="E26" i="2"/>
  <c r="AD26" i="2" s="1"/>
  <c r="Z25" i="2"/>
  <c r="V25" i="2"/>
  <c r="U25" i="2" s="1"/>
  <c r="E25" i="2"/>
  <c r="AD25" i="2" s="1"/>
  <c r="Z24" i="2"/>
  <c r="V24" i="2"/>
  <c r="U24" i="2" s="1"/>
  <c r="E24" i="2"/>
  <c r="AD24" i="2" s="1"/>
  <c r="Z23" i="2"/>
  <c r="V23" i="2"/>
  <c r="U23" i="2" s="1"/>
  <c r="E23" i="2"/>
  <c r="AD23" i="2" s="1"/>
  <c r="Z22" i="2"/>
  <c r="V22" i="2"/>
  <c r="U22" i="2" s="1"/>
  <c r="E22" i="2"/>
  <c r="AD22" i="2" s="1"/>
  <c r="Y21" i="2"/>
  <c r="Z21" i="2" s="1"/>
  <c r="V21" i="2"/>
  <c r="Q21" i="2"/>
  <c r="S21" i="2" s="1"/>
  <c r="J21" i="2"/>
  <c r="G21" i="2"/>
  <c r="E21" i="2"/>
  <c r="Y20" i="2"/>
  <c r="V20" i="2"/>
  <c r="Q20" i="2"/>
  <c r="S20" i="2" s="1"/>
  <c r="J20" i="2"/>
  <c r="G20" i="2"/>
  <c r="E20" i="2"/>
  <c r="Y19" i="2"/>
  <c r="Z19" i="2" s="1"/>
  <c r="V19" i="2"/>
  <c r="Q19" i="2"/>
  <c r="S19" i="2" s="1"/>
  <c r="J19" i="2"/>
  <c r="G19" i="2"/>
  <c r="E19" i="2"/>
  <c r="AD19" i="2" s="1"/>
  <c r="Y18" i="2"/>
  <c r="Z18" i="2" s="1"/>
  <c r="V18" i="2"/>
  <c r="Q18" i="2"/>
  <c r="S18" i="2" s="1"/>
  <c r="J18" i="2"/>
  <c r="G18" i="2"/>
  <c r="E18" i="2"/>
  <c r="Y17" i="2"/>
  <c r="Z17" i="2" s="1"/>
  <c r="V17" i="2"/>
  <c r="Q17" i="2"/>
  <c r="S17" i="2" s="1"/>
  <c r="L17" i="2"/>
  <c r="J17" i="2"/>
  <c r="G17" i="2"/>
  <c r="E17" i="2"/>
  <c r="AD17" i="2" s="1"/>
  <c r="Y16" i="2"/>
  <c r="Z16" i="2" s="1"/>
  <c r="V16" i="2"/>
  <c r="Q16" i="2"/>
  <c r="S16" i="2" s="1"/>
  <c r="J16" i="2"/>
  <c r="G16" i="2"/>
  <c r="E16" i="2"/>
  <c r="AD16" i="2" s="1"/>
  <c r="Z15" i="2"/>
  <c r="V15" i="2"/>
  <c r="U15" i="2" s="1"/>
  <c r="R15" i="2"/>
  <c r="S15" i="2" s="1"/>
  <c r="E15" i="2"/>
  <c r="I15" i="2" s="1"/>
  <c r="K15" i="2" s="1"/>
  <c r="N15" i="2" s="1"/>
  <c r="AF15" i="2" s="1"/>
  <c r="Z14" i="2"/>
  <c r="V14" i="2"/>
  <c r="U14" i="2" s="1"/>
  <c r="R14" i="2"/>
  <c r="S14" i="2" s="1"/>
  <c r="E14" i="2"/>
  <c r="I14" i="2" s="1"/>
  <c r="K14" i="2" s="1"/>
  <c r="N14" i="2" s="1"/>
  <c r="AF14" i="2" s="1"/>
  <c r="Z13" i="2"/>
  <c r="V13" i="2"/>
  <c r="U13" i="2" s="1"/>
  <c r="S13" i="2"/>
  <c r="E13" i="2"/>
  <c r="I13" i="2" s="1"/>
  <c r="K13" i="2" s="1"/>
  <c r="N13" i="2" s="1"/>
  <c r="AF13" i="2" s="1"/>
  <c r="Z12" i="2"/>
  <c r="V12" i="2"/>
  <c r="U12" i="2" s="1"/>
  <c r="S12" i="2"/>
  <c r="G12" i="2"/>
  <c r="E12" i="2"/>
  <c r="AD12" i="2" s="1"/>
  <c r="Z11" i="2"/>
  <c r="V11" i="2"/>
  <c r="U11" i="2" s="1"/>
  <c r="Q11" i="2"/>
  <c r="S11" i="2" s="1"/>
  <c r="J11" i="2"/>
  <c r="G11" i="2"/>
  <c r="E11" i="2"/>
  <c r="AD11" i="2" s="1"/>
  <c r="Z10" i="2"/>
  <c r="V10" i="2"/>
  <c r="U10" i="2" s="1"/>
  <c r="Q10" i="2"/>
  <c r="S10" i="2" s="1"/>
  <c r="J10" i="2"/>
  <c r="G10" i="2"/>
  <c r="E10" i="2"/>
  <c r="AD10" i="2" s="1"/>
  <c r="Z9" i="2"/>
  <c r="V9" i="2"/>
  <c r="U9" i="2" s="1"/>
  <c r="Q9" i="2"/>
  <c r="S9" i="2" s="1"/>
  <c r="J9" i="2"/>
  <c r="G9" i="2"/>
  <c r="E9" i="2"/>
  <c r="AD9" i="2" s="1"/>
  <c r="Z8" i="2"/>
  <c r="V8" i="2"/>
  <c r="U8" i="2" s="1"/>
  <c r="Q8" i="2"/>
  <c r="S8" i="2" s="1"/>
  <c r="J8" i="2"/>
  <c r="G8" i="2"/>
  <c r="E8" i="2"/>
  <c r="AD8" i="2" s="1"/>
  <c r="Y7" i="2"/>
  <c r="Z7" i="2" s="1"/>
  <c r="V7" i="2"/>
  <c r="Q7" i="2"/>
  <c r="S7" i="2" s="1"/>
  <c r="J7" i="2"/>
  <c r="G7" i="2"/>
  <c r="E7" i="2"/>
  <c r="AD7" i="2" s="1"/>
  <c r="Y6" i="2"/>
  <c r="Z6" i="2" s="1"/>
  <c r="V6" i="2"/>
  <c r="Q6" i="2"/>
  <c r="S6" i="2" s="1"/>
  <c r="J6" i="2"/>
  <c r="H6" i="2"/>
  <c r="G6" i="2"/>
  <c r="E6" i="2"/>
  <c r="AD6" i="2" s="1"/>
  <c r="Z5" i="2"/>
  <c r="V5" i="2"/>
  <c r="U5" i="2"/>
  <c r="S5" i="2"/>
  <c r="E5" i="2"/>
  <c r="I5" i="2" s="1"/>
  <c r="K5" i="2" s="1"/>
  <c r="N5" i="2" s="1"/>
  <c r="AF5" i="2" s="1"/>
  <c r="Z4" i="2"/>
  <c r="V4" i="2"/>
  <c r="U4" i="2"/>
  <c r="S4" i="2"/>
  <c r="E4" i="2"/>
  <c r="I4" i="2" s="1"/>
  <c r="K4" i="2" s="1"/>
  <c r="N4" i="2" s="1"/>
  <c r="AF4" i="2" s="1"/>
  <c r="Z3" i="2"/>
  <c r="V3" i="2"/>
  <c r="U3" i="2"/>
  <c r="N3" i="2"/>
  <c r="AF3" i="2" s="1"/>
  <c r="I3" i="2"/>
  <c r="Z2" i="2"/>
  <c r="V2" i="2"/>
  <c r="U2" i="2"/>
  <c r="N2" i="2"/>
  <c r="AF2" i="2" s="1"/>
  <c r="I2" i="2"/>
  <c r="U19" i="2" l="1"/>
  <c r="U21" i="2"/>
  <c r="AG5" i="2"/>
  <c r="I18" i="2"/>
  <c r="K18" i="2" s="1"/>
  <c r="N18" i="2" s="1"/>
  <c r="AG18" i="2" s="1"/>
  <c r="AB16" i="2"/>
  <c r="AB21" i="2"/>
  <c r="U18" i="2"/>
  <c r="U16" i="2"/>
  <c r="I21" i="2"/>
  <c r="AG4" i="2"/>
  <c r="I20" i="2"/>
  <c r="K20" i="2" s="1"/>
  <c r="AG3" i="2"/>
  <c r="I10" i="2"/>
  <c r="K10" i="2" s="1"/>
  <c r="AE5" i="2"/>
  <c r="AE4" i="2"/>
  <c r="AG2" i="2"/>
  <c r="AD21" i="2"/>
  <c r="AD5" i="2"/>
  <c r="AG15" i="2"/>
  <c r="I8" i="2"/>
  <c r="K8" i="2" s="1"/>
  <c r="AD20" i="2"/>
  <c r="AD4" i="2"/>
  <c r="AG14" i="2"/>
  <c r="AG13" i="2"/>
  <c r="AD18" i="2"/>
  <c r="AE15" i="2"/>
  <c r="AE14" i="2"/>
  <c r="AD15" i="2"/>
  <c r="AE13" i="2"/>
  <c r="I9" i="2"/>
  <c r="K9" i="2" s="1"/>
  <c r="AD14" i="2"/>
  <c r="AD13" i="2"/>
  <c r="U7" i="2"/>
  <c r="K21" i="2"/>
  <c r="I17" i="2"/>
  <c r="K17" i="2" s="1"/>
  <c r="I19" i="2"/>
  <c r="K19" i="2" s="1"/>
  <c r="I12" i="2"/>
  <c r="K12" i="2" s="1"/>
  <c r="U20" i="2"/>
  <c r="I16" i="2"/>
  <c r="K16" i="2" s="1"/>
  <c r="I11" i="2"/>
  <c r="K11" i="2" s="1"/>
  <c r="U17" i="2"/>
  <c r="Z20" i="2"/>
  <c r="I7" i="2"/>
  <c r="I6" i="2"/>
  <c r="K6" i="2" s="1"/>
  <c r="K7" i="2"/>
  <c r="U6" i="2"/>
  <c r="AF18" i="2" l="1"/>
  <c r="AE18" i="2"/>
  <c r="N9" i="2"/>
  <c r="AE9" i="2"/>
  <c r="N17" i="2"/>
  <c r="AE17" i="2"/>
  <c r="N21" i="2"/>
  <c r="AE21" i="2"/>
  <c r="N8" i="2"/>
  <c r="AE8" i="2"/>
  <c r="N12" i="2"/>
  <c r="AE12" i="2"/>
  <c r="N19" i="2"/>
  <c r="AE19" i="2"/>
  <c r="N7" i="2"/>
  <c r="AE7" i="2"/>
  <c r="N6" i="2"/>
  <c r="AE6" i="2"/>
  <c r="N10" i="2"/>
  <c r="AE10" i="2"/>
  <c r="N16" i="2"/>
  <c r="AE16" i="2"/>
  <c r="N20" i="2"/>
  <c r="AE20" i="2"/>
  <c r="N11" i="2"/>
  <c r="AE11" i="2"/>
  <c r="AF17" i="2" l="1"/>
  <c r="AG17" i="2"/>
  <c r="AF9" i="2"/>
  <c r="AG9" i="2"/>
  <c r="AG7" i="2"/>
  <c r="AF7" i="2"/>
  <c r="AF12" i="2"/>
  <c r="AG12" i="2"/>
  <c r="AF11" i="2"/>
  <c r="AG11" i="2"/>
  <c r="AG8" i="2"/>
  <c r="AF8" i="2"/>
  <c r="AF6" i="2"/>
  <c r="AG6" i="2"/>
  <c r="AF16" i="2"/>
  <c r="AG16" i="2"/>
  <c r="AF10" i="2"/>
  <c r="AG10" i="2"/>
  <c r="AF19" i="2"/>
  <c r="AG19" i="2"/>
  <c r="AF20" i="2"/>
  <c r="AG20" i="2"/>
  <c r="AG21" i="2"/>
  <c r="AF21" i="2"/>
</calcChain>
</file>

<file path=xl/sharedStrings.xml><?xml version="1.0" encoding="utf-8"?>
<sst xmlns="http://schemas.openxmlformats.org/spreadsheetml/2006/main" count="64" uniqueCount="37">
  <si>
    <t>EBIT</t>
  </si>
  <si>
    <t>Revenue</t>
  </si>
  <si>
    <t>Cost of Goods Sold</t>
  </si>
  <si>
    <t>Gross Profit</t>
  </si>
  <si>
    <t>Genereal Expenses</t>
  </si>
  <si>
    <t>Other</t>
  </si>
  <si>
    <t>Other Incomes</t>
  </si>
  <si>
    <t>Net Income</t>
  </si>
  <si>
    <t>Adjusted EBIT</t>
  </si>
  <si>
    <t>Ψυχογιός</t>
  </si>
  <si>
    <t>Non-Current Assets</t>
  </si>
  <si>
    <t>Inventories</t>
  </si>
  <si>
    <t>Receivables</t>
  </si>
  <si>
    <t>Cash</t>
  </si>
  <si>
    <t>Total Assets</t>
  </si>
  <si>
    <t>Current Liabilities</t>
  </si>
  <si>
    <t>Payables</t>
  </si>
  <si>
    <t>Long-Term Debt</t>
  </si>
  <si>
    <t>Short-Term Debt</t>
  </si>
  <si>
    <t>Total Debt</t>
  </si>
  <si>
    <t>Tax Paybles</t>
  </si>
  <si>
    <t>Total Shareholders' Equity</t>
  </si>
  <si>
    <t>Total Liabilities</t>
  </si>
  <si>
    <t>Total Liabilities &amp; Shareholders' Equity</t>
  </si>
  <si>
    <t>Net Interest Expense</t>
  </si>
  <si>
    <t>Πατάκης</t>
  </si>
  <si>
    <t>Depreciation</t>
  </si>
  <si>
    <t>Taxes</t>
  </si>
  <si>
    <t>Current Assets</t>
  </si>
  <si>
    <t>Μεταίχμιο</t>
  </si>
  <si>
    <t>Company</t>
  </si>
  <si>
    <t>Year</t>
  </si>
  <si>
    <t>Gross margin ratio</t>
  </si>
  <si>
    <t>Operating margin ratio</t>
  </si>
  <si>
    <t>Net Profit margin</t>
  </si>
  <si>
    <t>Return on assets ratio</t>
  </si>
  <si>
    <t>Capital Employed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</si>
</sst>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_-;\-* #,##0.0_-;_-* &quot;-&quot;??_-;_-@_-"/>
    <numFmt numFmtId="165" formatCode="_-* #,##0.0\ _€_-;\-* #,##0.0\ _€_-;_-* &quot;-&quot;?\ _€_-;_-@_-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2" applyNumberFormat="1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0" fillId="0" borderId="0" xfId="1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BC7D7-0A87-44A2-ACAD-6E3C3F67C9FE}">
  <dimension ref="A1:AH31"/>
  <sheetViews>
    <sheetView tabSelected="1" workbookViewId="0">
      <pane xSplit="2" ySplit="1" topLeftCell="U2" activePane="bottomRight" state="frozen"/>
      <selection pane="topRight" activeCell="C1" sqref="C1"/>
      <selection pane="bottomLeft" activeCell="A2" sqref="A2"/>
      <selection pane="bottomRight" activeCell="AJ9" sqref="AJ9"/>
    </sheetView>
  </sheetViews>
  <sheetFormatPr defaultRowHeight="14.6" x14ac:dyDescent="0.4"/>
  <cols>
    <col min="1" max="34" width="14.69140625" style="2" customWidth="1"/>
    <col min="35" max="16384" width="9.23046875" style="2"/>
  </cols>
  <sheetData>
    <row r="1" spans="1:34" ht="43.3" customHeight="1" x14ac:dyDescent="0.4">
      <c r="A1" s="6" t="s">
        <v>31</v>
      </c>
      <c r="B1" s="6" t="s">
        <v>30</v>
      </c>
      <c r="C1" s="6" t="s">
        <v>1</v>
      </c>
      <c r="D1" s="6" t="s">
        <v>2</v>
      </c>
      <c r="E1" s="6" t="s">
        <v>3</v>
      </c>
      <c r="F1" s="6" t="s">
        <v>6</v>
      </c>
      <c r="G1" s="6" t="s">
        <v>4</v>
      </c>
      <c r="H1" s="6" t="s">
        <v>26</v>
      </c>
      <c r="I1" s="6" t="s">
        <v>0</v>
      </c>
      <c r="J1" s="6" t="s">
        <v>24</v>
      </c>
      <c r="K1" s="6" t="s">
        <v>8</v>
      </c>
      <c r="L1" s="6" t="s">
        <v>5</v>
      </c>
      <c r="M1" s="6" t="s">
        <v>27</v>
      </c>
      <c r="N1" s="6" t="s">
        <v>7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28</v>
      </c>
      <c r="T1" s="6" t="s">
        <v>14</v>
      </c>
      <c r="U1" s="6" t="s">
        <v>16</v>
      </c>
      <c r="V1" s="6" t="s">
        <v>20</v>
      </c>
      <c r="W1" s="6" t="s">
        <v>15</v>
      </c>
      <c r="X1" s="6" t="s">
        <v>17</v>
      </c>
      <c r="Y1" s="6" t="s">
        <v>18</v>
      </c>
      <c r="Z1" s="6" t="s">
        <v>19</v>
      </c>
      <c r="AA1" s="6" t="s">
        <v>22</v>
      </c>
      <c r="AB1" s="6" t="s">
        <v>21</v>
      </c>
      <c r="AC1" s="6" t="s">
        <v>23</v>
      </c>
      <c r="AD1" s="6" t="s">
        <v>32</v>
      </c>
      <c r="AE1" s="6" t="s">
        <v>33</v>
      </c>
      <c r="AF1" s="6" t="s">
        <v>34</v>
      </c>
      <c r="AG1" s="6" t="s">
        <v>35</v>
      </c>
      <c r="AH1" s="6" t="s">
        <v>36</v>
      </c>
    </row>
    <row r="2" spans="1:34" x14ac:dyDescent="0.4">
      <c r="A2" s="1">
        <v>2011</v>
      </c>
      <c r="B2" s="2" t="s">
        <v>9</v>
      </c>
      <c r="C2" s="3">
        <v>13660485.380000001</v>
      </c>
      <c r="D2" s="3">
        <v>-3400600.16</v>
      </c>
      <c r="E2" s="3">
        <v>10259885.220000001</v>
      </c>
      <c r="F2" s="3">
        <v>624026.87</v>
      </c>
      <c r="G2" s="3">
        <v>-9425103.6500000004</v>
      </c>
      <c r="H2" s="3">
        <v>0</v>
      </c>
      <c r="I2" s="3">
        <f t="shared" ref="I2:I16" si="0">E2+F2+G2+H2</f>
        <v>1458808.4399999995</v>
      </c>
      <c r="J2" s="3">
        <v>-132807.85999999999</v>
      </c>
      <c r="K2" s="3">
        <v>1326000.58</v>
      </c>
      <c r="L2" s="3">
        <v>-23238.66</v>
      </c>
      <c r="M2" s="3">
        <v>0</v>
      </c>
      <c r="N2" s="3">
        <f t="shared" ref="N2:N11" si="1">K2+L2+M2</f>
        <v>1302761.9200000002</v>
      </c>
      <c r="O2" s="3">
        <v>4322233.8</v>
      </c>
      <c r="P2" s="3">
        <v>2256861.5499999998</v>
      </c>
      <c r="Q2" s="3">
        <v>8207140.3499999996</v>
      </c>
      <c r="R2" s="3">
        <v>971077.03</v>
      </c>
      <c r="S2" s="3">
        <v>11435078.93</v>
      </c>
      <c r="T2" s="3">
        <v>16221549.140000001</v>
      </c>
      <c r="U2" s="3">
        <f>367515.13+839887.3+181130.29+470600+608748.94</f>
        <v>2467881.66</v>
      </c>
      <c r="V2" s="2">
        <f>251325.81+86955.37</f>
        <v>338281.18</v>
      </c>
      <c r="W2" s="3">
        <v>4306162.84</v>
      </c>
      <c r="X2" s="3">
        <v>1466900</v>
      </c>
      <c r="Y2" s="3">
        <v>1500000</v>
      </c>
      <c r="Z2" s="3">
        <f t="shared" ref="Z2:Z11" si="2">Y2+X2</f>
        <v>2966900</v>
      </c>
      <c r="AA2" s="3">
        <v>5773062.8399999999</v>
      </c>
      <c r="AB2" s="3">
        <v>9462442.0899999999</v>
      </c>
      <c r="AC2" s="3">
        <f>T2</f>
        <v>16221549.140000001</v>
      </c>
      <c r="AD2" s="5">
        <f>E2/C2</f>
        <v>0.75106300651814761</v>
      </c>
      <c r="AE2" s="5">
        <f>K2/C2</f>
        <v>9.7068335649432097E-2</v>
      </c>
      <c r="AF2" s="5">
        <f>N2/C2</f>
        <v>9.5367176477297325E-2</v>
      </c>
      <c r="AG2" s="5">
        <f>N2/T2</f>
        <v>8.031057383955871E-2</v>
      </c>
      <c r="AH2" s="7">
        <f>T2-W2</f>
        <v>11915386.300000001</v>
      </c>
    </row>
    <row r="3" spans="1:34" x14ac:dyDescent="0.4">
      <c r="A3" s="1">
        <v>2012</v>
      </c>
      <c r="B3" s="2" t="s">
        <v>9</v>
      </c>
      <c r="C3" s="3">
        <v>12502330.33</v>
      </c>
      <c r="D3" s="3">
        <v>-3441412.27</v>
      </c>
      <c r="E3" s="3">
        <v>9060918.0600000005</v>
      </c>
      <c r="F3" s="3">
        <v>476115.45</v>
      </c>
      <c r="G3" s="3">
        <v>-8738705.6699999999</v>
      </c>
      <c r="H3" s="3">
        <v>0</v>
      </c>
      <c r="I3" s="3">
        <f t="shared" si="0"/>
        <v>798327.83999999985</v>
      </c>
      <c r="J3" s="3">
        <v>-177356.36</v>
      </c>
      <c r="K3" s="3">
        <v>620971.48</v>
      </c>
      <c r="L3" s="3">
        <v>-12153.5</v>
      </c>
      <c r="M3" s="3">
        <v>0</v>
      </c>
      <c r="N3" s="3">
        <f t="shared" si="1"/>
        <v>608817.98</v>
      </c>
      <c r="O3" s="3">
        <v>4096995.78</v>
      </c>
      <c r="P3" s="3">
        <v>1981159.78</v>
      </c>
      <c r="Q3" s="3">
        <v>6855957.7199999997</v>
      </c>
      <c r="R3" s="3">
        <v>2053258.49</v>
      </c>
      <c r="S3" s="3">
        <v>10890375.99</v>
      </c>
      <c r="T3" s="3">
        <v>15503740.949999999</v>
      </c>
      <c r="U3" s="3">
        <f>226743.33+1124363.29+105275.32+470600+705179.09</f>
        <v>2632161.0300000003</v>
      </c>
      <c r="V3" s="3">
        <f>571230.46+96174.67</f>
        <v>667405.13</v>
      </c>
      <c r="W3" s="3">
        <v>3753068.92</v>
      </c>
      <c r="X3" s="3">
        <v>1022300</v>
      </c>
      <c r="Y3" s="3">
        <v>453502.76</v>
      </c>
      <c r="Z3" s="3">
        <f t="shared" si="2"/>
        <v>1475802.76</v>
      </c>
      <c r="AA3" s="3">
        <v>4775369.92</v>
      </c>
      <c r="AB3" s="3">
        <v>9895918.5700000003</v>
      </c>
      <c r="AC3" s="3">
        <f t="shared" ref="AC3:AC31" si="3">T3</f>
        <v>15503740.949999999</v>
      </c>
      <c r="AD3" s="5">
        <f t="shared" ref="AD3:AD31" si="4">E3/C3</f>
        <v>0.72473833444136815</v>
      </c>
      <c r="AE3" s="5">
        <f t="shared" ref="AE3:AE31" si="5">K3/C3</f>
        <v>4.9668458888015958E-2</v>
      </c>
      <c r="AF3" s="5">
        <f t="shared" ref="AF3:AF31" si="6">N3/C3</f>
        <v>4.8696360112891052E-2</v>
      </c>
      <c r="AG3" s="5">
        <f t="shared" ref="AG3:AG31" si="7">N3/T3</f>
        <v>3.9269101693807651E-2</v>
      </c>
      <c r="AH3" s="7">
        <f t="shared" ref="AH3:AH31" si="8">T3-W3</f>
        <v>11750672.029999999</v>
      </c>
    </row>
    <row r="4" spans="1:34" x14ac:dyDescent="0.4">
      <c r="A4" s="1">
        <v>2013</v>
      </c>
      <c r="B4" s="2" t="s">
        <v>9</v>
      </c>
      <c r="C4" s="3">
        <v>13633275.630000001</v>
      </c>
      <c r="D4" s="3">
        <v>-3521769.06</v>
      </c>
      <c r="E4" s="3">
        <f t="shared" ref="E4:E31" si="9">C4+D4</f>
        <v>10111506.57</v>
      </c>
      <c r="F4" s="3">
        <v>629383.48</v>
      </c>
      <c r="G4" s="3">
        <v>-9659732.9900000002</v>
      </c>
      <c r="H4" s="3">
        <v>0</v>
      </c>
      <c r="I4" s="3">
        <f t="shared" si="0"/>
        <v>1081157.0600000005</v>
      </c>
      <c r="J4" s="3">
        <v>-58549.34</v>
      </c>
      <c r="K4" s="3">
        <f t="shared" ref="K4:K21" si="10">I4+J4</f>
        <v>1022607.7200000006</v>
      </c>
      <c r="L4" s="3">
        <v>10277.42</v>
      </c>
      <c r="M4" s="3">
        <v>0</v>
      </c>
      <c r="N4" s="3">
        <f t="shared" si="1"/>
        <v>1032885.1400000006</v>
      </c>
      <c r="O4" s="3">
        <v>4198019.9800000004</v>
      </c>
      <c r="P4" s="3">
        <v>1792962.75</v>
      </c>
      <c r="Q4" s="3">
        <v>6712564.25</v>
      </c>
      <c r="R4" s="3">
        <v>2124652.35</v>
      </c>
      <c r="S4" s="3">
        <f t="shared" ref="S4:S21" si="11">P4+Q4+R4</f>
        <v>10630179.35</v>
      </c>
      <c r="T4" s="3">
        <v>14975485.300000001</v>
      </c>
      <c r="U4" s="3">
        <f>161494.49+876592.61+104020+1097379.17</f>
        <v>2239486.27</v>
      </c>
      <c r="V4" s="3">
        <f>1148630.98+108313.91</f>
        <v>1256944.8899999999</v>
      </c>
      <c r="W4" s="3">
        <v>3967031.65</v>
      </c>
      <c r="X4" s="3">
        <v>551700</v>
      </c>
      <c r="Y4" s="3">
        <v>0</v>
      </c>
      <c r="Z4" s="3">
        <f t="shared" si="2"/>
        <v>551700</v>
      </c>
      <c r="AA4" s="3">
        <v>4518731.6500000004</v>
      </c>
      <c r="AB4" s="3">
        <v>9205899.5</v>
      </c>
      <c r="AC4" s="3">
        <f t="shared" si="3"/>
        <v>14975485.300000001</v>
      </c>
      <c r="AD4" s="5">
        <f t="shared" si="4"/>
        <v>0.74167843770059538</v>
      </c>
      <c r="AE4" s="5">
        <f t="shared" si="5"/>
        <v>7.500821869615501E-2</v>
      </c>
      <c r="AF4" s="5">
        <f t="shared" si="6"/>
        <v>7.5762066874606321E-2</v>
      </c>
      <c r="AG4" s="5">
        <f t="shared" si="7"/>
        <v>6.8971730752525301E-2</v>
      </c>
      <c r="AH4" s="7">
        <f t="shared" si="8"/>
        <v>11008453.65</v>
      </c>
    </row>
    <row r="5" spans="1:34" x14ac:dyDescent="0.4">
      <c r="A5" s="1">
        <v>2014</v>
      </c>
      <c r="B5" s="2" t="s">
        <v>9</v>
      </c>
      <c r="C5" s="3">
        <v>14069884.390000001</v>
      </c>
      <c r="D5" s="3">
        <v>-3828220.14</v>
      </c>
      <c r="E5" s="3">
        <f t="shared" si="9"/>
        <v>10241664.25</v>
      </c>
      <c r="F5" s="3">
        <v>577765.78</v>
      </c>
      <c r="G5" s="3">
        <v>-9153431.2400000002</v>
      </c>
      <c r="H5" s="3">
        <v>0</v>
      </c>
      <c r="I5" s="3">
        <f t="shared" si="0"/>
        <v>1665998.7899999991</v>
      </c>
      <c r="J5" s="3">
        <v>-35153.370000000003</v>
      </c>
      <c r="K5" s="3">
        <f t="shared" si="10"/>
        <v>1630845.419999999</v>
      </c>
      <c r="L5" s="3">
        <v>-2460.7800000000002</v>
      </c>
      <c r="M5" s="3">
        <v>0</v>
      </c>
      <c r="N5" s="3">
        <f t="shared" si="1"/>
        <v>1628384.639999999</v>
      </c>
      <c r="O5" s="3">
        <v>4443615.74</v>
      </c>
      <c r="P5" s="3">
        <v>2514129.66</v>
      </c>
      <c r="Q5" s="3">
        <v>8007024.1500000004</v>
      </c>
      <c r="R5" s="3">
        <v>633175.67000000004</v>
      </c>
      <c r="S5" s="3">
        <f t="shared" si="11"/>
        <v>11154329.48</v>
      </c>
      <c r="T5" s="3">
        <v>15745298.82</v>
      </c>
      <c r="U5" s="3">
        <f>498716.24+859854.71+73765.54+470600+906030.21</f>
        <v>2808966.7</v>
      </c>
      <c r="V5" s="3">
        <f>1290862.31+99438.88</f>
        <v>1390301.19</v>
      </c>
      <c r="W5" s="3">
        <v>6426009.9800000004</v>
      </c>
      <c r="X5" s="3">
        <v>82200</v>
      </c>
      <c r="Y5" s="3">
        <v>0</v>
      </c>
      <c r="Z5" s="3">
        <f t="shared" si="2"/>
        <v>82200</v>
      </c>
      <c r="AA5" s="3">
        <v>6508209.9800000004</v>
      </c>
      <c r="AB5" s="3">
        <v>7675576.96</v>
      </c>
      <c r="AC5" s="3">
        <f t="shared" si="3"/>
        <v>15745298.82</v>
      </c>
      <c r="AD5" s="5">
        <f t="shared" si="4"/>
        <v>0.72791388799748336</v>
      </c>
      <c r="AE5" s="5">
        <f t="shared" si="5"/>
        <v>0.11591036392303995</v>
      </c>
      <c r="AF5" s="5">
        <f t="shared" si="6"/>
        <v>0.11573546696356322</v>
      </c>
      <c r="AG5" s="5">
        <f t="shared" si="7"/>
        <v>0.10342037065257799</v>
      </c>
      <c r="AH5" s="7">
        <f t="shared" si="8"/>
        <v>9319288.8399999999</v>
      </c>
    </row>
    <row r="6" spans="1:34" x14ac:dyDescent="0.4">
      <c r="A6" s="1">
        <v>2015</v>
      </c>
      <c r="B6" s="2" t="s">
        <v>9</v>
      </c>
      <c r="C6" s="3">
        <v>13353101.529999999</v>
      </c>
      <c r="D6" s="3">
        <v>-3204077.02</v>
      </c>
      <c r="E6" s="3">
        <f t="shared" si="9"/>
        <v>10149024.51</v>
      </c>
      <c r="F6" s="3">
        <v>545940.31999999995</v>
      </c>
      <c r="G6" s="3">
        <f>-2342070.24-6571749.51-26208.11+30840.76</f>
        <v>-8909187.0999999996</v>
      </c>
      <c r="H6" s="3">
        <f>-310063.93</f>
        <v>-310063.93</v>
      </c>
      <c r="I6" s="3">
        <f t="shared" si="0"/>
        <v>1475713.8000000005</v>
      </c>
      <c r="J6" s="3">
        <f>3200.28+-124871.2</f>
        <v>-121670.92</v>
      </c>
      <c r="K6" s="3">
        <f t="shared" si="10"/>
        <v>1354042.8800000006</v>
      </c>
      <c r="L6" s="3">
        <v>0</v>
      </c>
      <c r="M6" s="3">
        <v>-703828.57</v>
      </c>
      <c r="N6" s="3">
        <f t="shared" si="1"/>
        <v>650214.31000000064</v>
      </c>
      <c r="O6" s="3">
        <v>4004172.27</v>
      </c>
      <c r="P6" s="3">
        <v>2942884.66</v>
      </c>
      <c r="Q6" s="3">
        <f>6866427.52+885980.77+172447.79</f>
        <v>7924856.0799999991</v>
      </c>
      <c r="R6" s="3">
        <v>655448.66</v>
      </c>
      <c r="S6" s="3">
        <f t="shared" si="11"/>
        <v>11523189.399999999</v>
      </c>
      <c r="T6" s="3">
        <v>15527361.67</v>
      </c>
      <c r="U6" s="3">
        <f t="shared" ref="U6:U31" si="12">W6-V6-Y6</f>
        <v>4679661.8600000003</v>
      </c>
      <c r="V6" s="3">
        <f>703828.57+164803.9+93431.34</f>
        <v>962063.80999999994</v>
      </c>
      <c r="W6" s="3">
        <v>6879533.5599999996</v>
      </c>
      <c r="X6" s="3">
        <v>86252.14</v>
      </c>
      <c r="Y6" s="3">
        <f>1237807.89</f>
        <v>1237807.8899999999</v>
      </c>
      <c r="Z6" s="3">
        <f t="shared" si="2"/>
        <v>1324060.0299999998</v>
      </c>
      <c r="AA6" s="3">
        <v>6965785.7000000002</v>
      </c>
      <c r="AB6" s="3">
        <v>8325791.2699999996</v>
      </c>
      <c r="AC6" s="3">
        <f t="shared" si="3"/>
        <v>15527361.67</v>
      </c>
      <c r="AD6" s="5">
        <f t="shared" si="4"/>
        <v>0.76004997694344656</v>
      </c>
      <c r="AE6" s="5">
        <f t="shared" si="5"/>
        <v>0.1014028746024221</v>
      </c>
      <c r="AF6" s="5">
        <f t="shared" si="6"/>
        <v>4.8693878986779536E-2</v>
      </c>
      <c r="AG6" s="5">
        <f t="shared" si="7"/>
        <v>4.1875388995173748E-2</v>
      </c>
      <c r="AH6" s="7">
        <f t="shared" si="8"/>
        <v>8647828.1099999994</v>
      </c>
    </row>
    <row r="7" spans="1:34" x14ac:dyDescent="0.4">
      <c r="A7" s="1">
        <v>2016</v>
      </c>
      <c r="B7" s="2" t="s">
        <v>9</v>
      </c>
      <c r="C7" s="3">
        <v>14002879.140000001</v>
      </c>
      <c r="D7" s="3">
        <v>-3548575.36</v>
      </c>
      <c r="E7" s="3">
        <f t="shared" si="9"/>
        <v>10454303.780000001</v>
      </c>
      <c r="F7" s="3">
        <v>545788.78</v>
      </c>
      <c r="G7" s="3">
        <f>-1886388.25-6809684.31-15763.41+114539.91</f>
        <v>-8597296.0599999987</v>
      </c>
      <c r="H7" s="3">
        <v>-21379.43</v>
      </c>
      <c r="I7" s="3">
        <f t="shared" si="0"/>
        <v>2381417.0700000017</v>
      </c>
      <c r="J7" s="3">
        <f>1476.38-68807.93</f>
        <v>-67331.549999999988</v>
      </c>
      <c r="K7" s="3">
        <f t="shared" si="10"/>
        <v>2314085.5200000019</v>
      </c>
      <c r="L7" s="3">
        <v>0</v>
      </c>
      <c r="M7" s="3">
        <v>-707645.12</v>
      </c>
      <c r="N7" s="3">
        <f t="shared" si="1"/>
        <v>1606440.4000000018</v>
      </c>
      <c r="O7" s="3">
        <v>3761043.47</v>
      </c>
      <c r="P7" s="3">
        <v>3158827.5</v>
      </c>
      <c r="Q7" s="3">
        <f>6509037.84+951924.14+179581.57</f>
        <v>7640543.5499999998</v>
      </c>
      <c r="R7" s="3">
        <v>579810.69999999995</v>
      </c>
      <c r="S7" s="3">
        <f t="shared" si="11"/>
        <v>11379181.75</v>
      </c>
      <c r="T7" s="3">
        <v>15140225.220000001</v>
      </c>
      <c r="U7" s="3">
        <f t="shared" si="12"/>
        <v>5225356</v>
      </c>
      <c r="V7" s="3">
        <f>707645.12+121811.03+108231.71</f>
        <v>937687.86</v>
      </c>
      <c r="W7" s="3">
        <v>6565662.7800000003</v>
      </c>
      <c r="X7" s="3">
        <v>86252.14</v>
      </c>
      <c r="Y7" s="3">
        <f>402618.92</f>
        <v>402618.92</v>
      </c>
      <c r="Z7" s="3">
        <f t="shared" si="2"/>
        <v>488871.06</v>
      </c>
      <c r="AA7" s="3">
        <v>6651914.9199999999</v>
      </c>
      <c r="AB7" s="3">
        <v>8237111.5700000003</v>
      </c>
      <c r="AC7" s="3">
        <f t="shared" si="3"/>
        <v>15140225.220000001</v>
      </c>
      <c r="AD7" s="5">
        <f t="shared" si="4"/>
        <v>0.74658244747229896</v>
      </c>
      <c r="AE7" s="5">
        <f t="shared" si="5"/>
        <v>0.16525783711077591</v>
      </c>
      <c r="AF7" s="5">
        <f t="shared" si="6"/>
        <v>0.11472214991923452</v>
      </c>
      <c r="AG7" s="5">
        <f t="shared" si="7"/>
        <v>0.10610412835060863</v>
      </c>
      <c r="AH7" s="7">
        <f t="shared" si="8"/>
        <v>8574562.4400000013</v>
      </c>
    </row>
    <row r="8" spans="1:34" x14ac:dyDescent="0.4">
      <c r="A8" s="1">
        <v>2017</v>
      </c>
      <c r="B8" s="2" t="s">
        <v>9</v>
      </c>
      <c r="C8" s="3">
        <v>13616601.92</v>
      </c>
      <c r="D8" s="3">
        <v>-3763340.13</v>
      </c>
      <c r="E8" s="3">
        <f t="shared" si="9"/>
        <v>9853261.7899999991</v>
      </c>
      <c r="F8" s="3">
        <v>607753.41</v>
      </c>
      <c r="G8" s="3">
        <f>-1823493.91-6907717.86-9747.42+150059.72</f>
        <v>-8590899.4699999988</v>
      </c>
      <c r="H8" s="3">
        <v>-93361.82</v>
      </c>
      <c r="I8" s="3">
        <f t="shared" si="0"/>
        <v>1776753.9100000004</v>
      </c>
      <c r="J8" s="3">
        <f>1766.63-46496.54</f>
        <v>-44729.91</v>
      </c>
      <c r="K8" s="3">
        <f t="shared" si="10"/>
        <v>1732024.0000000005</v>
      </c>
      <c r="L8" s="3">
        <v>0</v>
      </c>
      <c r="M8" s="3">
        <v>-518135.63</v>
      </c>
      <c r="N8" s="3">
        <f t="shared" si="1"/>
        <v>1213888.3700000006</v>
      </c>
      <c r="O8" s="3">
        <v>3693114.43</v>
      </c>
      <c r="P8" s="3">
        <v>3435264.91</v>
      </c>
      <c r="Q8" s="3">
        <f>7265420.93+1153865.99+253349.35+11445.23</f>
        <v>8684081.5</v>
      </c>
      <c r="R8" s="3">
        <v>582456.53</v>
      </c>
      <c r="S8" s="3">
        <f t="shared" si="11"/>
        <v>12701802.939999999</v>
      </c>
      <c r="T8" s="3">
        <v>16394917.390000001</v>
      </c>
      <c r="U8" s="3">
        <f t="shared" si="12"/>
        <v>4268166.3499999996</v>
      </c>
      <c r="V8" s="3">
        <f>518135.63+279143.76+106299.41</f>
        <v>903578.8</v>
      </c>
      <c r="W8" s="3">
        <v>6572445</v>
      </c>
      <c r="X8" s="3">
        <v>88494.7</v>
      </c>
      <c r="Y8" s="3">
        <v>1400699.85</v>
      </c>
      <c r="Z8" s="3">
        <f t="shared" si="2"/>
        <v>1489194.55</v>
      </c>
      <c r="AA8" s="3">
        <v>6660939.7000000002</v>
      </c>
      <c r="AB8" s="3">
        <v>9450999.9399999995</v>
      </c>
      <c r="AC8" s="3">
        <f t="shared" si="3"/>
        <v>16394917.390000001</v>
      </c>
      <c r="AD8" s="5">
        <f t="shared" si="4"/>
        <v>0.72362119770333999</v>
      </c>
      <c r="AE8" s="5">
        <f t="shared" si="5"/>
        <v>0.12719942979723978</v>
      </c>
      <c r="AF8" s="5">
        <f t="shared" si="6"/>
        <v>8.9147672608174522E-2</v>
      </c>
      <c r="AG8" s="5">
        <f t="shared" si="7"/>
        <v>7.4040529825444915E-2</v>
      </c>
      <c r="AH8" s="7">
        <f t="shared" si="8"/>
        <v>9822472.3900000006</v>
      </c>
    </row>
    <row r="9" spans="1:34" x14ac:dyDescent="0.4">
      <c r="A9" s="1">
        <v>2018</v>
      </c>
      <c r="B9" s="2" t="s">
        <v>9</v>
      </c>
      <c r="C9" s="3">
        <v>7018175.46</v>
      </c>
      <c r="D9" s="3">
        <v>-2232473.65</v>
      </c>
      <c r="E9" s="3">
        <f t="shared" si="9"/>
        <v>4785701.8100000005</v>
      </c>
      <c r="F9" s="3">
        <v>21035.89</v>
      </c>
      <c r="G9" s="3">
        <f>-1071135.45-3513619.55-8015.56+3363.96</f>
        <v>-4589406.5999999996</v>
      </c>
      <c r="H9" s="3">
        <v>-41343.43</v>
      </c>
      <c r="I9" s="3">
        <f t="shared" si="0"/>
        <v>175987.67000000057</v>
      </c>
      <c r="J9" s="3">
        <f>1033.45-19572.42</f>
        <v>-18538.969999999998</v>
      </c>
      <c r="K9" s="3">
        <f t="shared" si="10"/>
        <v>157448.70000000056</v>
      </c>
      <c r="L9" s="3">
        <v>0</v>
      </c>
      <c r="M9" s="3">
        <v>-76887.3</v>
      </c>
      <c r="N9" s="3">
        <f t="shared" si="1"/>
        <v>80561.400000000562</v>
      </c>
      <c r="O9" s="3">
        <v>774420.73</v>
      </c>
      <c r="P9" s="3">
        <v>3157826.4</v>
      </c>
      <c r="Q9" s="3">
        <f>7057603.64+283499.26+260217.73+1119.66</f>
        <v>7602440.29</v>
      </c>
      <c r="R9" s="3">
        <v>723493.67</v>
      </c>
      <c r="S9" s="3">
        <f t="shared" si="11"/>
        <v>11483760.359999999</v>
      </c>
      <c r="T9" s="3">
        <v>12258181.09</v>
      </c>
      <c r="U9" s="3">
        <f t="shared" si="12"/>
        <v>4419301.09</v>
      </c>
      <c r="V9" s="3">
        <f>76887.3+297377.85+105987</f>
        <v>480252.14999999997</v>
      </c>
      <c r="W9" s="3">
        <v>4899553.24</v>
      </c>
      <c r="X9" s="3">
        <v>0</v>
      </c>
      <c r="Y9" s="3">
        <v>0</v>
      </c>
      <c r="Z9" s="3">
        <f t="shared" si="2"/>
        <v>0</v>
      </c>
      <c r="AA9" s="3">
        <v>4899553.24</v>
      </c>
      <c r="AB9" s="3">
        <v>7052012.8399999999</v>
      </c>
      <c r="AC9" s="3">
        <f t="shared" si="3"/>
        <v>12258181.09</v>
      </c>
      <c r="AD9" s="5">
        <f t="shared" si="4"/>
        <v>0.68190113474307479</v>
      </c>
      <c r="AE9" s="5">
        <f t="shared" si="5"/>
        <v>2.2434420583722563E-2</v>
      </c>
      <c r="AF9" s="5">
        <f t="shared" si="6"/>
        <v>1.1478966358017012E-2</v>
      </c>
      <c r="AG9" s="5">
        <f t="shared" si="7"/>
        <v>6.5720517104875436E-3</v>
      </c>
      <c r="AH9" s="7">
        <f t="shared" si="8"/>
        <v>7358627.8499999996</v>
      </c>
    </row>
    <row r="10" spans="1:34" x14ac:dyDescent="0.4">
      <c r="A10" s="1">
        <v>2019</v>
      </c>
      <c r="B10" s="2" t="s">
        <v>9</v>
      </c>
      <c r="C10" s="3">
        <v>12677430.630000001</v>
      </c>
      <c r="D10" s="3">
        <v>-4030115.71</v>
      </c>
      <c r="E10" s="3">
        <f t="shared" si="9"/>
        <v>8647314.9200000018</v>
      </c>
      <c r="F10" s="3">
        <v>61709.32</v>
      </c>
      <c r="G10" s="3">
        <f>-1518986.64-5697411.83-4602+30820.91+5320.31</f>
        <v>-7184859.25</v>
      </c>
      <c r="H10" s="3">
        <v>-30815.05</v>
      </c>
      <c r="I10" s="3">
        <f t="shared" si="0"/>
        <v>1493349.940000002</v>
      </c>
      <c r="J10" s="3">
        <f>1659.86-65564.07</f>
        <v>-63904.210000000006</v>
      </c>
      <c r="K10" s="3">
        <f t="shared" si="10"/>
        <v>1429445.7300000021</v>
      </c>
      <c r="L10" s="3">
        <v>0</v>
      </c>
      <c r="M10" s="3">
        <v>-369166.05</v>
      </c>
      <c r="N10" s="3">
        <f t="shared" si="1"/>
        <v>1060279.680000002</v>
      </c>
      <c r="O10" s="3">
        <v>801280.84</v>
      </c>
      <c r="P10" s="3">
        <v>3671483.85</v>
      </c>
      <c r="Q10" s="3">
        <f>7072227.91+509301.21+253934.79+1074.34</f>
        <v>7836538.25</v>
      </c>
      <c r="R10" s="3">
        <v>1038458.23</v>
      </c>
      <c r="S10" s="3">
        <f t="shared" si="11"/>
        <v>12546480.33</v>
      </c>
      <c r="T10" s="3">
        <v>13347761.17</v>
      </c>
      <c r="U10" s="3">
        <f t="shared" si="12"/>
        <v>3562393.2899999991</v>
      </c>
      <c r="V10" s="3">
        <f>369166+83702.44+97838.21</f>
        <v>550706.65</v>
      </c>
      <c r="W10" s="3">
        <v>4931540.6399999997</v>
      </c>
      <c r="X10" s="3">
        <v>0</v>
      </c>
      <c r="Y10" s="3">
        <v>818440.7</v>
      </c>
      <c r="Z10" s="3">
        <f t="shared" si="2"/>
        <v>818440.7</v>
      </c>
      <c r="AA10" s="3">
        <v>4931540.6399999997</v>
      </c>
      <c r="AB10" s="3">
        <v>8112282.5199999996</v>
      </c>
      <c r="AC10" s="3">
        <f t="shared" si="3"/>
        <v>13347761.17</v>
      </c>
      <c r="AD10" s="5">
        <f t="shared" si="4"/>
        <v>0.68210311476971586</v>
      </c>
      <c r="AE10" s="5">
        <f t="shared" si="5"/>
        <v>0.11275516086180327</v>
      </c>
      <c r="AF10" s="5">
        <f t="shared" si="6"/>
        <v>8.3635218440158171E-2</v>
      </c>
      <c r="AG10" s="5">
        <f t="shared" si="7"/>
        <v>7.9435020337571868E-2</v>
      </c>
      <c r="AH10" s="7">
        <f t="shared" si="8"/>
        <v>8416220.5300000012</v>
      </c>
    </row>
    <row r="11" spans="1:34" x14ac:dyDescent="0.4">
      <c r="A11" s="1">
        <v>2020</v>
      </c>
      <c r="B11" s="2" t="s">
        <v>9</v>
      </c>
      <c r="C11" s="3">
        <v>14176261.68</v>
      </c>
      <c r="D11" s="3">
        <v>-3782991.66</v>
      </c>
      <c r="E11" s="3">
        <f t="shared" si="9"/>
        <v>10393270.02</v>
      </c>
      <c r="F11" s="3">
        <v>104757.77</v>
      </c>
      <c r="G11" s="3">
        <f>-1417476.89-6714546.5-43098+1332.54+30883.6</f>
        <v>-8142905.25</v>
      </c>
      <c r="H11" s="3">
        <v>-96267.33</v>
      </c>
      <c r="I11" s="3">
        <f t="shared" si="0"/>
        <v>2258855.209999999</v>
      </c>
      <c r="J11" s="3">
        <f>1478.35-84446.22</f>
        <v>-82967.87</v>
      </c>
      <c r="K11" s="3">
        <f t="shared" si="10"/>
        <v>2175887.3399999989</v>
      </c>
      <c r="L11" s="3">
        <v>0</v>
      </c>
      <c r="M11" s="3">
        <v>-544444.27</v>
      </c>
      <c r="N11" s="3">
        <f t="shared" si="1"/>
        <v>1631443.0699999989</v>
      </c>
      <c r="O11" s="3">
        <v>848630.18</v>
      </c>
      <c r="P11" s="3">
        <v>4232389.9400000004</v>
      </c>
      <c r="Q11" s="3">
        <f>7121981.15+396.92+480914+309253</f>
        <v>7912545.0700000003</v>
      </c>
      <c r="R11" s="3">
        <v>850458.15</v>
      </c>
      <c r="S11" s="3">
        <f t="shared" si="11"/>
        <v>12995393.160000002</v>
      </c>
      <c r="T11" s="3">
        <v>13844023.380000001</v>
      </c>
      <c r="U11" s="3">
        <f t="shared" si="12"/>
        <v>3755990.45</v>
      </c>
      <c r="V11" s="3">
        <f>342412.66+96297.37+91269.98</f>
        <v>529980.01</v>
      </c>
      <c r="W11" s="3">
        <v>4304348.34</v>
      </c>
      <c r="X11" s="3">
        <v>0</v>
      </c>
      <c r="Y11" s="3">
        <v>18377.88</v>
      </c>
      <c r="Z11" s="3">
        <f t="shared" si="2"/>
        <v>18377.88</v>
      </c>
      <c r="AA11" s="3">
        <v>4304348.34</v>
      </c>
      <c r="AB11" s="3">
        <v>9243735.5700000003</v>
      </c>
      <c r="AC11" s="3">
        <f t="shared" si="3"/>
        <v>13844023.380000001</v>
      </c>
      <c r="AD11" s="5">
        <f t="shared" si="4"/>
        <v>0.73314603346119944</v>
      </c>
      <c r="AE11" s="5">
        <f t="shared" si="5"/>
        <v>0.15348809080392195</v>
      </c>
      <c r="AF11" s="5">
        <f t="shared" si="6"/>
        <v>0.11508274232138743</v>
      </c>
      <c r="AG11" s="5">
        <f t="shared" si="7"/>
        <v>0.11784457633587143</v>
      </c>
      <c r="AH11" s="7">
        <f t="shared" si="8"/>
        <v>9539675.040000001</v>
      </c>
    </row>
    <row r="12" spans="1:34" x14ac:dyDescent="0.4">
      <c r="A12" s="1">
        <v>2011</v>
      </c>
      <c r="B12" s="2" t="s">
        <v>25</v>
      </c>
      <c r="C12" s="3">
        <v>12245097.220000001</v>
      </c>
      <c r="D12" s="3">
        <v>-5638556.2000000002</v>
      </c>
      <c r="E12" s="3">
        <f t="shared" si="9"/>
        <v>6606541.0200000005</v>
      </c>
      <c r="F12" s="3">
        <v>16857.650000000001</v>
      </c>
      <c r="G12" s="3">
        <f>-5810859.48</f>
        <v>-5810859.4800000004</v>
      </c>
      <c r="H12" s="3">
        <v>0</v>
      </c>
      <c r="I12" s="3">
        <f t="shared" si="0"/>
        <v>812539.19000000041</v>
      </c>
      <c r="J12" s="3">
        <v>-258604.91</v>
      </c>
      <c r="K12" s="3">
        <f t="shared" si="10"/>
        <v>553934.28000000038</v>
      </c>
      <c r="L12" s="3">
        <v>-40977.82</v>
      </c>
      <c r="M12" s="3">
        <v>0</v>
      </c>
      <c r="N12" s="3">
        <f t="shared" ref="N12:N21" si="13">M12+L12+K12</f>
        <v>512956.46000000037</v>
      </c>
      <c r="O12" s="3">
        <v>6070981.0199999996</v>
      </c>
      <c r="P12" s="3">
        <v>8250441.5</v>
      </c>
      <c r="Q12" s="3">
        <v>9769531.2200000007</v>
      </c>
      <c r="R12" s="3">
        <v>183062.05</v>
      </c>
      <c r="S12" s="3">
        <f t="shared" si="11"/>
        <v>18203034.77</v>
      </c>
      <c r="T12" s="3">
        <v>26796189.899999999</v>
      </c>
      <c r="U12" s="3">
        <f t="shared" si="12"/>
        <v>3897157.1100000003</v>
      </c>
      <c r="V12" s="3">
        <f>182532.49+163753.81</f>
        <v>346286.3</v>
      </c>
      <c r="W12" s="3">
        <v>6457645.0700000003</v>
      </c>
      <c r="X12" s="3">
        <v>2968569.98</v>
      </c>
      <c r="Y12" s="3">
        <v>2214201.66</v>
      </c>
      <c r="Z12" s="3">
        <f t="shared" ref="Z12:Z31" si="14">X12+Y12</f>
        <v>5182771.6400000006</v>
      </c>
      <c r="AA12" s="3">
        <v>9426215.0500000007</v>
      </c>
      <c r="AB12" s="3">
        <v>16763155.970000001</v>
      </c>
      <c r="AC12" s="3">
        <f t="shared" si="3"/>
        <v>26796189.899999999</v>
      </c>
      <c r="AD12" s="5">
        <f t="shared" si="4"/>
        <v>0.53952540362109103</v>
      </c>
      <c r="AE12" s="5">
        <f t="shared" si="5"/>
        <v>4.5237230056063234E-2</v>
      </c>
      <c r="AF12" s="5">
        <f t="shared" si="6"/>
        <v>4.1890762546350803E-2</v>
      </c>
      <c r="AG12" s="5">
        <f t="shared" si="7"/>
        <v>1.9142887922286311E-2</v>
      </c>
      <c r="AH12" s="7">
        <f t="shared" si="8"/>
        <v>20338544.829999998</v>
      </c>
    </row>
    <row r="13" spans="1:34" x14ac:dyDescent="0.4">
      <c r="A13" s="1">
        <v>2012</v>
      </c>
      <c r="B13" s="2" t="s">
        <v>25</v>
      </c>
      <c r="C13" s="3">
        <v>12739443.32</v>
      </c>
      <c r="D13" s="3">
        <v>-6132039.6799999997</v>
      </c>
      <c r="E13" s="3">
        <f t="shared" si="9"/>
        <v>6607403.6400000006</v>
      </c>
      <c r="F13" s="3">
        <v>56971.92</v>
      </c>
      <c r="G13" s="3">
        <v>-5514849.3600000003</v>
      </c>
      <c r="H13" s="3">
        <v>0</v>
      </c>
      <c r="I13" s="3">
        <f t="shared" si="0"/>
        <v>1149526.2000000002</v>
      </c>
      <c r="J13" s="3">
        <v>-218955.79</v>
      </c>
      <c r="K13" s="3">
        <f t="shared" si="10"/>
        <v>930570.41000000015</v>
      </c>
      <c r="L13" s="3">
        <v>-195837.95</v>
      </c>
      <c r="M13" s="3">
        <v>0</v>
      </c>
      <c r="N13" s="3">
        <f t="shared" si="13"/>
        <v>734732.4600000002</v>
      </c>
      <c r="O13" s="3">
        <v>5772423.0199999996</v>
      </c>
      <c r="P13" s="3">
        <v>8008662.75</v>
      </c>
      <c r="Q13" s="3">
        <v>9713014.6799999997</v>
      </c>
      <c r="R13" s="3">
        <v>632032.59</v>
      </c>
      <c r="S13" s="3">
        <f t="shared" si="11"/>
        <v>18353710.02</v>
      </c>
      <c r="T13" s="3">
        <v>26340752.530000001</v>
      </c>
      <c r="U13" s="3">
        <f t="shared" si="12"/>
        <v>4582296.76</v>
      </c>
      <c r="V13" s="3">
        <f>359049.66+152747.96</f>
        <v>511797.62</v>
      </c>
      <c r="W13" s="3">
        <v>5751320.5899999999</v>
      </c>
      <c r="X13" s="3">
        <v>2953529.98</v>
      </c>
      <c r="Y13" s="3">
        <v>657226.21</v>
      </c>
      <c r="Z13" s="3">
        <f t="shared" si="14"/>
        <v>3610756.19</v>
      </c>
      <c r="AA13" s="3">
        <v>8704850.5700000003</v>
      </c>
      <c r="AB13" s="3">
        <v>16657730.24</v>
      </c>
      <c r="AC13" s="3">
        <f t="shared" si="3"/>
        <v>26340752.530000001</v>
      </c>
      <c r="AD13" s="5">
        <f t="shared" si="4"/>
        <v>0.51865717159138791</v>
      </c>
      <c r="AE13" s="5">
        <f t="shared" si="5"/>
        <v>7.3046395091618505E-2</v>
      </c>
      <c r="AF13" s="5">
        <f t="shared" si="6"/>
        <v>5.7673827776016214E-2</v>
      </c>
      <c r="AG13" s="5">
        <f t="shared" si="7"/>
        <v>2.7893373933155437E-2</v>
      </c>
      <c r="AH13" s="7">
        <f t="shared" si="8"/>
        <v>20589431.940000001</v>
      </c>
    </row>
    <row r="14" spans="1:34" x14ac:dyDescent="0.4">
      <c r="A14" s="1">
        <v>2013</v>
      </c>
      <c r="B14" s="2" t="s">
        <v>25</v>
      </c>
      <c r="C14" s="3">
        <v>12941590.9</v>
      </c>
      <c r="D14" s="3">
        <v>-6441998.46</v>
      </c>
      <c r="E14" s="3">
        <f t="shared" si="9"/>
        <v>6499592.4400000004</v>
      </c>
      <c r="F14" s="3">
        <v>20823.29</v>
      </c>
      <c r="G14" s="3">
        <v>-5510819.0599999996</v>
      </c>
      <c r="H14" s="3">
        <v>0</v>
      </c>
      <c r="I14" s="3">
        <f t="shared" si="0"/>
        <v>1009596.6700000009</v>
      </c>
      <c r="J14" s="3">
        <v>-225003.22</v>
      </c>
      <c r="K14" s="3">
        <f t="shared" si="10"/>
        <v>784593.45000000088</v>
      </c>
      <c r="L14" s="3">
        <v>2784.16</v>
      </c>
      <c r="M14" s="3">
        <v>0</v>
      </c>
      <c r="N14" s="3">
        <f t="shared" si="13"/>
        <v>787377.61000000092</v>
      </c>
      <c r="O14" s="3">
        <v>5559235.9000000004</v>
      </c>
      <c r="P14" s="3">
        <v>6859785.7699999996</v>
      </c>
      <c r="Q14" s="3">
        <v>9293377.3059999999</v>
      </c>
      <c r="R14" s="3">
        <f>100000+484360.4</f>
        <v>584360.4</v>
      </c>
      <c r="S14" s="3">
        <f t="shared" si="11"/>
        <v>16737523.476</v>
      </c>
      <c r="T14" s="3">
        <v>24394058.059999999</v>
      </c>
      <c r="U14" s="3">
        <f t="shared" si="12"/>
        <v>3565703.03</v>
      </c>
      <c r="V14" s="3">
        <f>439498.72+157190.89</f>
        <v>596689.61</v>
      </c>
      <c r="W14" s="3">
        <v>4693066.47</v>
      </c>
      <c r="X14" s="3">
        <v>2158489.98</v>
      </c>
      <c r="Y14" s="3">
        <v>530673.82999999996</v>
      </c>
      <c r="Z14" s="3">
        <f t="shared" si="14"/>
        <v>2689163.81</v>
      </c>
      <c r="AA14" s="3">
        <v>6851556.4500000002</v>
      </c>
      <c r="AB14" s="3">
        <v>16622089.289999999</v>
      </c>
      <c r="AC14" s="3">
        <f t="shared" si="3"/>
        <v>24394058.059999999</v>
      </c>
      <c r="AD14" s="5">
        <f t="shared" si="4"/>
        <v>0.50222515069611728</v>
      </c>
      <c r="AE14" s="5">
        <f t="shared" si="5"/>
        <v>6.0625734197794871E-2</v>
      </c>
      <c r="AF14" s="5">
        <f t="shared" si="6"/>
        <v>6.0840866944727859E-2</v>
      </c>
      <c r="AG14" s="5">
        <f t="shared" si="7"/>
        <v>3.2277434449953138E-2</v>
      </c>
      <c r="AH14" s="7">
        <f t="shared" si="8"/>
        <v>19700991.59</v>
      </c>
    </row>
    <row r="15" spans="1:34" x14ac:dyDescent="0.4">
      <c r="A15" s="1">
        <v>2014</v>
      </c>
      <c r="B15" s="2" t="s">
        <v>25</v>
      </c>
      <c r="C15" s="3">
        <v>12383322.289999999</v>
      </c>
      <c r="D15" s="3">
        <v>-5633078.3200000003</v>
      </c>
      <c r="E15" s="3">
        <f t="shared" si="9"/>
        <v>6750243.9699999988</v>
      </c>
      <c r="F15" s="3">
        <v>169717.42</v>
      </c>
      <c r="G15" s="3">
        <v>-5635065.7400000002</v>
      </c>
      <c r="H15" s="3">
        <v>0</v>
      </c>
      <c r="I15" s="3">
        <f t="shared" si="0"/>
        <v>1284895.6499999985</v>
      </c>
      <c r="J15" s="3">
        <v>-163020.99</v>
      </c>
      <c r="K15" s="3">
        <f t="shared" si="10"/>
        <v>1121874.6599999985</v>
      </c>
      <c r="L15" s="3">
        <v>-250991.21</v>
      </c>
      <c r="M15" s="3">
        <v>0</v>
      </c>
      <c r="N15" s="3">
        <f t="shared" si="13"/>
        <v>870883.44999999856</v>
      </c>
      <c r="O15" s="3">
        <v>5376675.2199999997</v>
      </c>
      <c r="P15" s="3">
        <v>6908569.25</v>
      </c>
      <c r="Q15" s="3">
        <v>9282286.8599999994</v>
      </c>
      <c r="R15" s="3">
        <f>100047.09+321116.63</f>
        <v>421163.72</v>
      </c>
      <c r="S15" s="3">
        <f t="shared" si="11"/>
        <v>16612019.83</v>
      </c>
      <c r="T15" s="3">
        <v>24047477.120000001</v>
      </c>
      <c r="U15" s="3">
        <f t="shared" si="12"/>
        <v>3696166.6500000004</v>
      </c>
      <c r="V15" s="3">
        <f>380731.25+149500.55</f>
        <v>530231.80000000005</v>
      </c>
      <c r="W15" s="3">
        <v>5028924.75</v>
      </c>
      <c r="X15" s="3">
        <v>1448449.98</v>
      </c>
      <c r="Y15" s="3">
        <v>802526.3</v>
      </c>
      <c r="Z15" s="3">
        <f t="shared" si="14"/>
        <v>2250976.2800000003</v>
      </c>
      <c r="AA15" s="3">
        <v>6477374.7300000004</v>
      </c>
      <c r="AB15" s="3">
        <v>16686347.23</v>
      </c>
      <c r="AC15" s="3">
        <f t="shared" si="3"/>
        <v>24047477.120000001</v>
      </c>
      <c r="AD15" s="5">
        <f t="shared" si="4"/>
        <v>0.5451076707783884</v>
      </c>
      <c r="AE15" s="5">
        <f t="shared" si="5"/>
        <v>9.0595611882439225E-2</v>
      </c>
      <c r="AF15" s="5">
        <f t="shared" si="6"/>
        <v>7.0327124628200136E-2</v>
      </c>
      <c r="AG15" s="5">
        <f t="shared" si="7"/>
        <v>3.6215169086311144E-2</v>
      </c>
      <c r="AH15" s="7">
        <f t="shared" si="8"/>
        <v>19018552.370000001</v>
      </c>
    </row>
    <row r="16" spans="1:34" x14ac:dyDescent="0.4">
      <c r="A16" s="1">
        <v>2015</v>
      </c>
      <c r="B16" s="2" t="s">
        <v>25</v>
      </c>
      <c r="C16" s="3">
        <v>12491994.99</v>
      </c>
      <c r="D16" s="3">
        <v>-5922690.7699999996</v>
      </c>
      <c r="E16" s="3">
        <f t="shared" si="9"/>
        <v>6569304.2200000007</v>
      </c>
      <c r="F16" s="3">
        <v>172443.63</v>
      </c>
      <c r="G16" s="3">
        <f>-3833194.24-1565670.88-92730.94+31346.08</f>
        <v>-5460249.9800000004</v>
      </c>
      <c r="H16" s="3">
        <v>-81002.03</v>
      </c>
      <c r="I16" s="3">
        <f t="shared" si="0"/>
        <v>1200495.8400000001</v>
      </c>
      <c r="J16" s="3">
        <f>3194.77-182377.48</f>
        <v>-179182.71000000002</v>
      </c>
      <c r="K16" s="3">
        <f t="shared" si="10"/>
        <v>1021313.1300000001</v>
      </c>
      <c r="L16" s="3">
        <v>0</v>
      </c>
      <c r="M16" s="3">
        <v>-346462.89</v>
      </c>
      <c r="N16" s="3">
        <f t="shared" si="13"/>
        <v>674850.24000000011</v>
      </c>
      <c r="O16" s="3">
        <v>5187562.0199999996</v>
      </c>
      <c r="P16" s="3">
        <v>7177113.6799999997</v>
      </c>
      <c r="Q16" s="3">
        <f>8341878.79+935411.08+20905.36+2063715.91</f>
        <v>11361911.139999999</v>
      </c>
      <c r="R16" s="3">
        <v>201857</v>
      </c>
      <c r="S16" s="3">
        <f t="shared" si="11"/>
        <v>18740881.82</v>
      </c>
      <c r="T16" s="3">
        <v>23928443.93</v>
      </c>
      <c r="U16" s="3">
        <f t="shared" si="12"/>
        <v>3522565.7600000007</v>
      </c>
      <c r="V16" s="3">
        <f>346462.89+118851+137737.5</f>
        <v>603051.39</v>
      </c>
      <c r="W16" s="3">
        <v>5828818.7800000003</v>
      </c>
      <c r="X16" s="3">
        <v>738427.69</v>
      </c>
      <c r="Y16" s="3">
        <f>993161.63+710040</f>
        <v>1703201.63</v>
      </c>
      <c r="Z16" s="3">
        <f t="shared" si="14"/>
        <v>2441629.3199999998</v>
      </c>
      <c r="AA16" s="3">
        <v>6567246.4699999997</v>
      </c>
      <c r="AB16" s="3">
        <f t="shared" ref="AB16:AB21" si="15">AC16-AA16</f>
        <v>17361197.460000001</v>
      </c>
      <c r="AC16" s="3">
        <f t="shared" si="3"/>
        <v>23928443.93</v>
      </c>
      <c r="AD16" s="5">
        <f t="shared" si="4"/>
        <v>0.52588111228501222</v>
      </c>
      <c r="AE16" s="5">
        <f t="shared" si="5"/>
        <v>8.1757407909431132E-2</v>
      </c>
      <c r="AF16" s="5">
        <f t="shared" si="6"/>
        <v>5.4022615326072915E-2</v>
      </c>
      <c r="AG16" s="5">
        <f t="shared" si="7"/>
        <v>2.8202846870201814E-2</v>
      </c>
      <c r="AH16" s="7">
        <f t="shared" si="8"/>
        <v>18099625.149999999</v>
      </c>
    </row>
    <row r="17" spans="1:34" x14ac:dyDescent="0.4">
      <c r="A17" s="1">
        <v>2016</v>
      </c>
      <c r="B17" s="2" t="s">
        <v>25</v>
      </c>
      <c r="C17" s="3">
        <v>12573235.050000001</v>
      </c>
      <c r="D17" s="3">
        <v>-5973570.0499999998</v>
      </c>
      <c r="E17" s="3">
        <f t="shared" si="9"/>
        <v>6599665.0000000009</v>
      </c>
      <c r="F17" s="3">
        <v>172111.44</v>
      </c>
      <c r="G17" s="3">
        <f>-3887514.25-1587857.94-300688.75</f>
        <v>-5776060.9399999995</v>
      </c>
      <c r="H17" s="3">
        <v>0</v>
      </c>
      <c r="I17" s="3">
        <f>E17+F17+G17+H17+L17</f>
        <v>1028836.4100000019</v>
      </c>
      <c r="J17" s="3">
        <f>2364.77-189812.5</f>
        <v>-187447.73</v>
      </c>
      <c r="K17" s="3">
        <f t="shared" si="10"/>
        <v>841388.68000000191</v>
      </c>
      <c r="L17" s="3">
        <f>-1442.51+34563.42</f>
        <v>33120.909999999996</v>
      </c>
      <c r="M17" s="3">
        <v>-274240.71999999997</v>
      </c>
      <c r="N17" s="3">
        <f t="shared" si="13"/>
        <v>600268.87000000197</v>
      </c>
      <c r="O17" s="3">
        <v>5044563.1900000004</v>
      </c>
      <c r="P17" s="3">
        <v>7712712.0999999996</v>
      </c>
      <c r="Q17" s="3">
        <f>8765056.82+940949.15+20905.36+2110009.02</f>
        <v>11836920.35</v>
      </c>
      <c r="R17" s="3">
        <v>205111.66</v>
      </c>
      <c r="S17" s="3">
        <f t="shared" si="11"/>
        <v>19754744.109999999</v>
      </c>
      <c r="T17" s="3">
        <v>24799307.300000001</v>
      </c>
      <c r="U17" s="3">
        <f t="shared" si="12"/>
        <v>4456509.6300000008</v>
      </c>
      <c r="V17" s="3">
        <f>274240.72+108339.66+149172.28</f>
        <v>531752.66</v>
      </c>
      <c r="W17" s="3">
        <v>7322129.4400000004</v>
      </c>
      <c r="X17" s="3">
        <v>103370.07</v>
      </c>
      <c r="Y17" s="3">
        <f>1698827.15+635040</f>
        <v>2333867.15</v>
      </c>
      <c r="Z17" s="3">
        <f t="shared" si="14"/>
        <v>2437237.2199999997</v>
      </c>
      <c r="AA17" s="3">
        <v>7440961.8799999999</v>
      </c>
      <c r="AB17" s="3">
        <f t="shared" si="15"/>
        <v>17358345.420000002</v>
      </c>
      <c r="AC17" s="3">
        <f t="shared" si="3"/>
        <v>24799307.300000001</v>
      </c>
      <c r="AD17" s="5">
        <f t="shared" si="4"/>
        <v>0.52489792593195816</v>
      </c>
      <c r="AE17" s="5">
        <f t="shared" si="5"/>
        <v>6.6919028925654406E-2</v>
      </c>
      <c r="AF17" s="5">
        <f t="shared" si="6"/>
        <v>4.7741799752642179E-2</v>
      </c>
      <c r="AG17" s="5">
        <f t="shared" si="7"/>
        <v>2.420506600198474E-2</v>
      </c>
      <c r="AH17" s="7">
        <f t="shared" si="8"/>
        <v>17477177.859999999</v>
      </c>
    </row>
    <row r="18" spans="1:34" x14ac:dyDescent="0.4">
      <c r="A18" s="1">
        <v>2017</v>
      </c>
      <c r="B18" s="2" t="s">
        <v>25</v>
      </c>
      <c r="C18" s="3">
        <v>12573038.640000001</v>
      </c>
      <c r="D18" s="3">
        <v>-5971864.1200000001</v>
      </c>
      <c r="E18" s="3">
        <f t="shared" si="9"/>
        <v>6601174.5200000005</v>
      </c>
      <c r="F18" s="3">
        <v>178646.5</v>
      </c>
      <c r="G18" s="3">
        <f>-3915315.89-1599213.52-36626.75+12022.84</f>
        <v>-5539133.3200000003</v>
      </c>
      <c r="H18" s="3">
        <v>-38074.19</v>
      </c>
      <c r="I18" s="3">
        <f>E18+F18+G18+H18+L18</f>
        <v>1202613.5100000002</v>
      </c>
      <c r="J18" s="3">
        <f>-242573.52+2912.04</f>
        <v>-239661.47999999998</v>
      </c>
      <c r="K18" s="3">
        <f t="shared" si="10"/>
        <v>962952.03000000026</v>
      </c>
      <c r="L18" s="3">
        <v>0</v>
      </c>
      <c r="M18" s="3">
        <v>-329569.3</v>
      </c>
      <c r="N18" s="3">
        <f t="shared" si="13"/>
        <v>633382.73000000021</v>
      </c>
      <c r="O18" s="3">
        <v>4803577.47</v>
      </c>
      <c r="P18" s="3">
        <v>8175863.1900000004</v>
      </c>
      <c r="Q18" s="3">
        <f>9282012.88+971685.25+2166712.65</f>
        <v>12420410.780000001</v>
      </c>
      <c r="R18" s="3">
        <v>99771.6</v>
      </c>
      <c r="S18" s="3">
        <f t="shared" si="11"/>
        <v>20696045.570000004</v>
      </c>
      <c r="T18" s="3">
        <v>25499623.039999999</v>
      </c>
      <c r="U18" s="3">
        <f t="shared" si="12"/>
        <v>4167968.62</v>
      </c>
      <c r="V18" s="3">
        <f>329569.3+104046.78+153580.49</f>
        <v>587196.56999999995</v>
      </c>
      <c r="W18" s="3">
        <v>7324430.8300000001</v>
      </c>
      <c r="X18" s="3">
        <v>743055.54</v>
      </c>
      <c r="Y18" s="3">
        <f>1906783.38+662482.26</f>
        <v>2569265.6399999997</v>
      </c>
      <c r="Z18" s="3">
        <f t="shared" si="14"/>
        <v>3312321.1799999997</v>
      </c>
      <c r="AA18" s="3">
        <v>8077894.8700000001</v>
      </c>
      <c r="AB18" s="3">
        <f t="shared" si="15"/>
        <v>17421728.169999998</v>
      </c>
      <c r="AC18" s="3">
        <f t="shared" si="3"/>
        <v>25499623.039999999</v>
      </c>
      <c r="AD18" s="5">
        <f t="shared" si="4"/>
        <v>0.52502618571448212</v>
      </c>
      <c r="AE18" s="5">
        <f t="shared" si="5"/>
        <v>7.6588647945171687E-2</v>
      </c>
      <c r="AF18" s="5">
        <f t="shared" si="6"/>
        <v>5.037626528760912E-2</v>
      </c>
      <c r="AG18" s="5">
        <f t="shared" si="7"/>
        <v>2.4838905618582832E-2</v>
      </c>
      <c r="AH18" s="7">
        <f t="shared" si="8"/>
        <v>18175192.210000001</v>
      </c>
    </row>
    <row r="19" spans="1:34" x14ac:dyDescent="0.4">
      <c r="A19" s="1">
        <v>2018</v>
      </c>
      <c r="B19" s="2" t="s">
        <v>25</v>
      </c>
      <c r="C19" s="3">
        <v>11850993.470000001</v>
      </c>
      <c r="D19" s="3">
        <v>-5583408.9699999997</v>
      </c>
      <c r="E19" s="3">
        <f t="shared" si="9"/>
        <v>6267584.5000000009</v>
      </c>
      <c r="F19" s="3">
        <v>179590.6</v>
      </c>
      <c r="G19" s="3">
        <f>-3868040.9-1579904.03-25887.86+10856.4</f>
        <v>-5462976.3899999997</v>
      </c>
      <c r="H19" s="3">
        <v>0</v>
      </c>
      <c r="I19" s="3">
        <f>E19+F19+G19+H19+L19</f>
        <v>984198.71000000089</v>
      </c>
      <c r="J19" s="3">
        <f>-230227.24+3086.28</f>
        <v>-227140.96</v>
      </c>
      <c r="K19" s="3">
        <f t="shared" si="10"/>
        <v>757057.75000000093</v>
      </c>
      <c r="L19" s="3">
        <v>0</v>
      </c>
      <c r="M19" s="3">
        <v>-312088.69</v>
      </c>
      <c r="N19" s="3">
        <f t="shared" si="13"/>
        <v>444969.06000000093</v>
      </c>
      <c r="O19" s="3">
        <v>4630478.95</v>
      </c>
      <c r="P19" s="3">
        <v>8869683</v>
      </c>
      <c r="Q19" s="3">
        <f>8250941.34+982965.25+2126404.57</f>
        <v>11360311.16</v>
      </c>
      <c r="R19" s="3">
        <v>215675.51999999999</v>
      </c>
      <c r="S19" s="3">
        <f t="shared" si="11"/>
        <v>20445669.68</v>
      </c>
      <c r="T19" s="3">
        <v>25076148.629999999</v>
      </c>
      <c r="U19" s="3">
        <f t="shared" si="12"/>
        <v>3954326.69</v>
      </c>
      <c r="V19" s="3">
        <f>258581.45+152584.42+147021.04</f>
        <v>558186.91</v>
      </c>
      <c r="W19" s="3">
        <v>6928631.6299999999</v>
      </c>
      <c r="X19" s="3">
        <v>804716.99</v>
      </c>
      <c r="Y19" s="3">
        <f>1664146.65+751971.38</f>
        <v>2416118.0299999998</v>
      </c>
      <c r="Z19" s="3">
        <f t="shared" si="14"/>
        <v>3220835.0199999996</v>
      </c>
      <c r="AA19" s="3">
        <v>7739325.8899999997</v>
      </c>
      <c r="AB19" s="3">
        <f t="shared" si="15"/>
        <v>17336822.739999998</v>
      </c>
      <c r="AC19" s="3">
        <f t="shared" si="3"/>
        <v>25076148.629999999</v>
      </c>
      <c r="AD19" s="5">
        <f t="shared" si="4"/>
        <v>0.52886574580147838</v>
      </c>
      <c r="AE19" s="5">
        <f t="shared" si="5"/>
        <v>6.3881374326670765E-2</v>
      </c>
      <c r="AF19" s="5">
        <f t="shared" si="6"/>
        <v>3.7546983814176461E-2</v>
      </c>
      <c r="AG19" s="5">
        <f t="shared" si="7"/>
        <v>1.7744712976683331E-2</v>
      </c>
      <c r="AH19" s="7">
        <f t="shared" si="8"/>
        <v>18147517</v>
      </c>
    </row>
    <row r="20" spans="1:34" x14ac:dyDescent="0.4">
      <c r="A20" s="1">
        <v>2019</v>
      </c>
      <c r="B20" s="2" t="s">
        <v>25</v>
      </c>
      <c r="C20" s="3">
        <v>12202050.1</v>
      </c>
      <c r="D20" s="3">
        <v>-5463658.3200000003</v>
      </c>
      <c r="E20" s="3">
        <f t="shared" si="9"/>
        <v>6738391.7799999993</v>
      </c>
      <c r="F20" s="3">
        <v>178807.94</v>
      </c>
      <c r="G20" s="3">
        <f>-3757365.71-1534698.67-154974.39+3987.32</f>
        <v>-5443051.4499999993</v>
      </c>
      <c r="H20" s="3">
        <v>-310114.13</v>
      </c>
      <c r="I20" s="3">
        <f>E20+F20+G20+H20+L20</f>
        <v>1164034.1400000006</v>
      </c>
      <c r="J20" s="3">
        <f>3184.93-205546.9</f>
        <v>-202361.97</v>
      </c>
      <c r="K20" s="3">
        <f t="shared" si="10"/>
        <v>961672.17000000062</v>
      </c>
      <c r="L20" s="3">
        <v>0</v>
      </c>
      <c r="M20" s="3">
        <v>-294897.78999999998</v>
      </c>
      <c r="N20" s="3">
        <f t="shared" si="13"/>
        <v>666774.38000000059</v>
      </c>
      <c r="O20" s="3">
        <v>5195576.7</v>
      </c>
      <c r="P20" s="3">
        <v>8916404.3300000001</v>
      </c>
      <c r="Q20" s="3">
        <f>8058944.52+956865.24+1366502.78</f>
        <v>10382312.539999999</v>
      </c>
      <c r="R20" s="3">
        <v>210678.18</v>
      </c>
      <c r="S20" s="3">
        <f t="shared" si="11"/>
        <v>19509395.049999997</v>
      </c>
      <c r="T20" s="3">
        <v>24704971.149999999</v>
      </c>
      <c r="U20" s="3">
        <f t="shared" si="12"/>
        <v>4135234.5700000003</v>
      </c>
      <c r="V20" s="3">
        <f>251932.62+81828.39+239209.71</f>
        <v>572970.72</v>
      </c>
      <c r="W20" s="3">
        <v>5457840.2999999998</v>
      </c>
      <c r="X20" s="3">
        <v>1511232.24</v>
      </c>
      <c r="Y20" s="3">
        <f>54763.38+694871.63</f>
        <v>749635.01</v>
      </c>
      <c r="Z20" s="3">
        <f t="shared" si="14"/>
        <v>2260867.25</v>
      </c>
      <c r="AA20" s="3">
        <v>7016204.9100000001</v>
      </c>
      <c r="AB20" s="3">
        <f t="shared" si="15"/>
        <v>17688766.239999998</v>
      </c>
      <c r="AC20" s="3">
        <f t="shared" si="3"/>
        <v>24704971.149999999</v>
      </c>
      <c r="AD20" s="5">
        <f t="shared" si="4"/>
        <v>0.55223439707070199</v>
      </c>
      <c r="AE20" s="5">
        <f t="shared" si="5"/>
        <v>7.8812344001111798E-2</v>
      </c>
      <c r="AF20" s="5">
        <f t="shared" si="6"/>
        <v>5.464445519691815E-2</v>
      </c>
      <c r="AG20" s="5">
        <f t="shared" si="7"/>
        <v>2.6989482236250278E-2</v>
      </c>
      <c r="AH20" s="7">
        <f t="shared" si="8"/>
        <v>19247130.849999998</v>
      </c>
    </row>
    <row r="21" spans="1:34" x14ac:dyDescent="0.4">
      <c r="A21" s="1">
        <v>2020</v>
      </c>
      <c r="B21" s="2" t="s">
        <v>25</v>
      </c>
      <c r="C21" s="3">
        <v>11669353.560000001</v>
      </c>
      <c r="D21" s="3">
        <v>-5735492.71</v>
      </c>
      <c r="E21" s="3">
        <f t="shared" si="9"/>
        <v>5933860.8500000006</v>
      </c>
      <c r="F21" s="3">
        <v>210462.13</v>
      </c>
      <c r="G21" s="3">
        <f>-3598135.56-1469661.02-46046.19+1135.36</f>
        <v>-5112707.41</v>
      </c>
      <c r="H21" s="3">
        <v>0</v>
      </c>
      <c r="I21" s="3">
        <f>E21+F21+G21+H21+L21</f>
        <v>1031615.5700000003</v>
      </c>
      <c r="J21" s="3">
        <f>-101110.59+2648.54</f>
        <v>-98462.05</v>
      </c>
      <c r="K21" s="3">
        <f t="shared" si="10"/>
        <v>933153.52000000025</v>
      </c>
      <c r="L21" s="3">
        <v>0</v>
      </c>
      <c r="M21" s="3">
        <v>-251932.62</v>
      </c>
      <c r="N21" s="3">
        <f t="shared" si="13"/>
        <v>681220.90000000026</v>
      </c>
      <c r="O21" s="3">
        <v>4869475.0199999996</v>
      </c>
      <c r="P21" s="3">
        <v>9130265.3900000006</v>
      </c>
      <c r="Q21" s="3">
        <f>7584778.14+932313.36+1350145.43</f>
        <v>9867236.9299999997</v>
      </c>
      <c r="R21" s="3">
        <v>825565.59</v>
      </c>
      <c r="S21" s="3">
        <f t="shared" si="11"/>
        <v>19823067.91</v>
      </c>
      <c r="T21" s="3">
        <v>24692542.93</v>
      </c>
      <c r="U21" s="3">
        <f t="shared" si="12"/>
        <v>3841336.34</v>
      </c>
      <c r="V21" s="3">
        <f>294897.79+97506.28+143393.79</f>
        <v>535797.86</v>
      </c>
      <c r="W21" s="3">
        <v>6236854.4199999999</v>
      </c>
      <c r="X21" s="3">
        <v>965054.6</v>
      </c>
      <c r="Y21" s="3">
        <f>1057024.47+802695.75</f>
        <v>1859720.22</v>
      </c>
      <c r="Z21" s="3">
        <f t="shared" si="14"/>
        <v>2824774.82</v>
      </c>
      <c r="AA21" s="3">
        <v>7205614.6299999999</v>
      </c>
      <c r="AB21" s="3">
        <f t="shared" si="15"/>
        <v>17486928.300000001</v>
      </c>
      <c r="AC21" s="3">
        <f t="shared" si="3"/>
        <v>24692542.93</v>
      </c>
      <c r="AD21" s="5">
        <f t="shared" si="4"/>
        <v>0.50849953422784122</v>
      </c>
      <c r="AE21" s="5">
        <f t="shared" si="5"/>
        <v>7.9966170808179735E-2</v>
      </c>
      <c r="AF21" s="5">
        <f t="shared" si="6"/>
        <v>5.8376918352622119E-2</v>
      </c>
      <c r="AG21" s="5">
        <f t="shared" si="7"/>
        <v>2.7588122532829804E-2</v>
      </c>
      <c r="AH21" s="7">
        <f t="shared" si="8"/>
        <v>18455688.509999998</v>
      </c>
    </row>
    <row r="22" spans="1:34" x14ac:dyDescent="0.4">
      <c r="A22" s="1">
        <v>2011</v>
      </c>
      <c r="B22" s="2" t="s">
        <v>29</v>
      </c>
      <c r="C22" s="3">
        <v>6408990.3799999999</v>
      </c>
      <c r="D22" s="3">
        <v>-1344034.69</v>
      </c>
      <c r="E22" s="4">
        <f t="shared" si="9"/>
        <v>5064955.6899999995</v>
      </c>
      <c r="F22" s="3">
        <v>115496.75</v>
      </c>
      <c r="G22" s="3">
        <v>-4520778.87</v>
      </c>
      <c r="I22" s="3">
        <v>659673.56999999995</v>
      </c>
      <c r="J22" s="3">
        <v>-361506.81</v>
      </c>
      <c r="K22" s="3">
        <v>298166.76</v>
      </c>
      <c r="L22" s="3">
        <v>-59241.5</v>
      </c>
      <c r="N22" s="3">
        <v>238925.26</v>
      </c>
      <c r="O22" s="3">
        <v>2024817.09</v>
      </c>
      <c r="P22" s="3">
        <v>1385867.37</v>
      </c>
      <c r="Q22" s="3">
        <v>8382348.7599999998</v>
      </c>
      <c r="R22" s="3">
        <v>389529.9</v>
      </c>
      <c r="S22" s="3">
        <v>10157476.029999999</v>
      </c>
      <c r="T22" s="3">
        <v>12541138.109999999</v>
      </c>
      <c r="U22" s="3">
        <f t="shared" si="12"/>
        <v>6226218.9399999995</v>
      </c>
      <c r="V22" s="3">
        <f>107270.87+87676.99</f>
        <v>194947.86</v>
      </c>
      <c r="W22" s="3">
        <v>6421166.7999999998</v>
      </c>
      <c r="X22" s="3">
        <v>1272776.3700000001</v>
      </c>
      <c r="Y22" s="3">
        <v>0</v>
      </c>
      <c r="Z22" s="3">
        <f t="shared" si="14"/>
        <v>1272776.3700000001</v>
      </c>
      <c r="AA22" s="3">
        <v>7693943.1699999999</v>
      </c>
      <c r="AB22" s="3">
        <v>3487795.72</v>
      </c>
      <c r="AC22" s="3">
        <f t="shared" si="3"/>
        <v>12541138.109999999</v>
      </c>
      <c r="AD22" s="5">
        <f t="shared" si="4"/>
        <v>0.79028917032014634</v>
      </c>
      <c r="AE22" s="5">
        <f t="shared" si="5"/>
        <v>4.6523202926074606E-2</v>
      </c>
      <c r="AF22" s="5">
        <f t="shared" si="6"/>
        <v>3.7279703328248717E-2</v>
      </c>
      <c r="AG22" s="5">
        <f t="shared" si="7"/>
        <v>1.9051321969693228E-2</v>
      </c>
      <c r="AH22" s="7">
        <f t="shared" si="8"/>
        <v>6119971.3099999996</v>
      </c>
    </row>
    <row r="23" spans="1:34" x14ac:dyDescent="0.4">
      <c r="A23" s="1">
        <v>2012</v>
      </c>
      <c r="B23" s="2" t="s">
        <v>29</v>
      </c>
      <c r="C23" s="3">
        <v>5183171.63</v>
      </c>
      <c r="D23" s="3">
        <v>-1183411.05</v>
      </c>
      <c r="E23" s="4">
        <f t="shared" si="9"/>
        <v>3999760.58</v>
      </c>
      <c r="F23" s="3">
        <v>87127.74</v>
      </c>
      <c r="G23" s="3">
        <v>-3926573</v>
      </c>
      <c r="I23" s="3">
        <v>160315.32</v>
      </c>
      <c r="J23" s="3">
        <v>-395271.11</v>
      </c>
      <c r="K23" s="3">
        <v>-234955.79</v>
      </c>
      <c r="L23" s="3">
        <v>3227.78</v>
      </c>
      <c r="N23" s="3">
        <v>-31728.01</v>
      </c>
      <c r="O23" s="3">
        <v>1963049.96</v>
      </c>
      <c r="P23" s="3">
        <v>1390260.16</v>
      </c>
      <c r="Q23" s="3">
        <v>7265906.5199999996</v>
      </c>
      <c r="R23" s="3">
        <v>266885.96999999997</v>
      </c>
      <c r="S23" s="3">
        <v>8923052.6500000004</v>
      </c>
      <c r="T23" s="3">
        <v>11449469.73</v>
      </c>
      <c r="U23" s="3">
        <f t="shared" si="12"/>
        <v>5362358.01</v>
      </c>
      <c r="V23" s="3">
        <f>49641+67057.44</f>
        <v>116698.44</v>
      </c>
      <c r="W23" s="3">
        <v>5479056.4500000002</v>
      </c>
      <c r="X23" s="3">
        <v>1230262.92</v>
      </c>
      <c r="Y23" s="3">
        <v>0</v>
      </c>
      <c r="Z23" s="3">
        <f t="shared" si="14"/>
        <v>1230262.92</v>
      </c>
      <c r="AA23" s="3">
        <v>6709319.3700000001</v>
      </c>
      <c r="AB23" s="3">
        <v>3304056.85</v>
      </c>
      <c r="AC23" s="3">
        <f t="shared" si="3"/>
        <v>11449469.73</v>
      </c>
      <c r="AD23" s="5">
        <f t="shared" si="4"/>
        <v>0.77168206370970593</v>
      </c>
      <c r="AE23" s="5">
        <f t="shared" si="5"/>
        <v>-4.5330505484341838E-2</v>
      </c>
      <c r="AF23" s="5">
        <f t="shared" si="6"/>
        <v>-6.1213504519818497E-3</v>
      </c>
      <c r="AG23" s="5">
        <f t="shared" si="7"/>
        <v>-2.7711335763320102E-3</v>
      </c>
      <c r="AH23" s="7">
        <f t="shared" si="8"/>
        <v>5970413.2800000003</v>
      </c>
    </row>
    <row r="24" spans="1:34" x14ac:dyDescent="0.4">
      <c r="A24" s="1">
        <v>2013</v>
      </c>
      <c r="B24" s="2" t="s">
        <v>29</v>
      </c>
      <c r="C24" s="3">
        <v>7437407.29</v>
      </c>
      <c r="D24" s="3">
        <v>-2038903.62</v>
      </c>
      <c r="E24" s="4">
        <f t="shared" si="9"/>
        <v>5398503.6699999999</v>
      </c>
      <c r="F24" s="3">
        <v>13020.6</v>
      </c>
      <c r="G24" s="3">
        <v>-4673730.41</v>
      </c>
      <c r="I24" s="3">
        <v>737793.86</v>
      </c>
      <c r="J24" s="3">
        <v>-369189.36</v>
      </c>
      <c r="K24" s="3">
        <v>368604.5</v>
      </c>
      <c r="L24" s="3">
        <v>-150775.26999999999</v>
      </c>
      <c r="N24" s="3">
        <v>217829.23</v>
      </c>
      <c r="O24" s="3">
        <v>1863694.36</v>
      </c>
      <c r="P24" s="3">
        <v>950231.47</v>
      </c>
      <c r="Q24" s="3">
        <v>7073000.1399999997</v>
      </c>
      <c r="R24" s="3">
        <v>396942.61</v>
      </c>
      <c r="S24" s="3">
        <v>8420174.2200000007</v>
      </c>
      <c r="T24" s="3">
        <v>10645939.279999999</v>
      </c>
      <c r="U24" s="3">
        <f t="shared" si="12"/>
        <v>3029252.55</v>
      </c>
      <c r="V24" s="3">
        <f>136714.92+74466.84</f>
        <v>211181.76</v>
      </c>
      <c r="W24" s="3">
        <v>5694925.2999999998</v>
      </c>
      <c r="X24" s="3">
        <v>900000</v>
      </c>
      <c r="Y24" s="3">
        <v>2454490.9900000002</v>
      </c>
      <c r="Z24" s="3">
        <f t="shared" si="14"/>
        <v>3354490.99</v>
      </c>
      <c r="AA24" s="3">
        <v>6594925.2999999998</v>
      </c>
      <c r="AB24" s="3">
        <v>3192805.28</v>
      </c>
      <c r="AC24" s="3">
        <f t="shared" si="3"/>
        <v>10645939.279999999</v>
      </c>
      <c r="AD24" s="5">
        <f t="shared" si="4"/>
        <v>0.72585828091713933</v>
      </c>
      <c r="AE24" s="5">
        <f t="shared" si="5"/>
        <v>4.9560886694427625E-2</v>
      </c>
      <c r="AF24" s="5">
        <f t="shared" si="6"/>
        <v>2.928832878265028E-2</v>
      </c>
      <c r="AG24" s="5">
        <f t="shared" si="7"/>
        <v>2.0461250460936314E-2</v>
      </c>
      <c r="AH24" s="7">
        <f t="shared" si="8"/>
        <v>4951013.9799999995</v>
      </c>
    </row>
    <row r="25" spans="1:34" x14ac:dyDescent="0.4">
      <c r="A25" s="1">
        <v>2014</v>
      </c>
      <c r="B25" s="2" t="s">
        <v>29</v>
      </c>
      <c r="C25" s="3">
        <v>7435389.2400000002</v>
      </c>
      <c r="D25" s="3">
        <v>-1619442.48</v>
      </c>
      <c r="E25" s="4">
        <f t="shared" si="9"/>
        <v>5815946.7599999998</v>
      </c>
      <c r="F25" s="3">
        <v>15995.91</v>
      </c>
      <c r="G25" s="3">
        <v>-4573098.09</v>
      </c>
      <c r="I25" s="3">
        <v>1258844.58</v>
      </c>
      <c r="J25" s="3">
        <v>-265843.98</v>
      </c>
      <c r="K25" s="3">
        <v>994219.25</v>
      </c>
      <c r="L25" s="3">
        <v>-670335.99</v>
      </c>
      <c r="N25" s="3">
        <v>323883.26</v>
      </c>
      <c r="O25" s="3">
        <v>1771974.33</v>
      </c>
      <c r="P25" s="3">
        <v>1011256.52</v>
      </c>
      <c r="Q25" s="3">
        <v>6705496.2599999998</v>
      </c>
      <c r="R25" s="3">
        <v>341598.25</v>
      </c>
      <c r="S25" s="3">
        <v>8058351.0300000003</v>
      </c>
      <c r="T25" s="3">
        <v>10104953.310000001</v>
      </c>
      <c r="U25" s="3">
        <f t="shared" si="12"/>
        <v>2653621.8899999992</v>
      </c>
      <c r="V25" s="3">
        <f>250827.64+75515.34</f>
        <v>326342.98</v>
      </c>
      <c r="W25" s="3">
        <v>4951319.68</v>
      </c>
      <c r="X25" s="3">
        <v>600000</v>
      </c>
      <c r="Y25" s="3">
        <v>1971354.81</v>
      </c>
      <c r="Z25" s="3">
        <f t="shared" si="14"/>
        <v>2571354.81</v>
      </c>
      <c r="AA25" s="3">
        <v>5551319.6799999997</v>
      </c>
      <c r="AB25" s="3">
        <v>3142662.99</v>
      </c>
      <c r="AC25" s="3">
        <f t="shared" si="3"/>
        <v>10104953.310000001</v>
      </c>
      <c r="AD25" s="5">
        <f t="shared" si="4"/>
        <v>0.78219802249384318</v>
      </c>
      <c r="AE25" s="5">
        <f t="shared" si="5"/>
        <v>0.13371448594129015</v>
      </c>
      <c r="AF25" s="5">
        <f t="shared" si="6"/>
        <v>4.3559691301379669E-2</v>
      </c>
      <c r="AG25" s="5">
        <f t="shared" si="7"/>
        <v>3.2051930381457643E-2</v>
      </c>
      <c r="AH25" s="7">
        <f t="shared" si="8"/>
        <v>5153633.6300000008</v>
      </c>
    </row>
    <row r="26" spans="1:34" x14ac:dyDescent="0.4">
      <c r="A26" s="1">
        <v>2015</v>
      </c>
      <c r="B26" s="2" t="s">
        <v>29</v>
      </c>
      <c r="C26" s="3">
        <v>5881095.6799999997</v>
      </c>
      <c r="D26" s="3">
        <v>-1411337.28</v>
      </c>
      <c r="E26" s="4">
        <f t="shared" si="9"/>
        <v>4469758.3999999994</v>
      </c>
      <c r="F26" s="3">
        <v>5049.92</v>
      </c>
      <c r="G26" s="2">
        <f>-2886436.97-1198210.27+42158.07-84634.69</f>
        <v>-4127123.8600000003</v>
      </c>
      <c r="I26" s="3">
        <v>347684.46</v>
      </c>
      <c r="J26" s="3">
        <v>-188004.08</v>
      </c>
      <c r="K26" s="3">
        <v>159680.38</v>
      </c>
      <c r="M26" s="3">
        <v>-64307.360000000001</v>
      </c>
      <c r="N26" s="3">
        <v>95373.02</v>
      </c>
      <c r="O26" s="3">
        <v>1796147.64</v>
      </c>
      <c r="P26" s="3">
        <v>920095.31</v>
      </c>
      <c r="Q26" s="2">
        <f>509546.96+4789330.7</f>
        <v>5298877.66</v>
      </c>
      <c r="R26" s="3">
        <v>183382.68</v>
      </c>
      <c r="S26" s="3">
        <v>6402355.6500000004</v>
      </c>
      <c r="T26" s="3">
        <v>8198503.29</v>
      </c>
      <c r="U26" s="3">
        <f t="shared" si="12"/>
        <v>2951638.3399999994</v>
      </c>
      <c r="V26" s="3">
        <f>64307.36+118419.5</f>
        <v>182726.86</v>
      </c>
      <c r="W26" s="3">
        <v>4395194.26</v>
      </c>
      <c r="X26" s="3">
        <v>653041.43000000005</v>
      </c>
      <c r="Y26" s="3">
        <v>1260829.06</v>
      </c>
      <c r="Z26" s="3">
        <f t="shared" si="14"/>
        <v>1913870.4900000002</v>
      </c>
      <c r="AA26" s="3">
        <v>5408235.6900000004</v>
      </c>
      <c r="AB26" s="3">
        <v>3150267.6</v>
      </c>
      <c r="AC26" s="3">
        <f t="shared" si="3"/>
        <v>8198503.29</v>
      </c>
      <c r="AD26" s="5">
        <f t="shared" si="4"/>
        <v>0.76002137071165621</v>
      </c>
      <c r="AE26" s="5">
        <f t="shared" si="5"/>
        <v>2.7151467802679928E-2</v>
      </c>
      <c r="AF26" s="5">
        <f t="shared" si="6"/>
        <v>1.6216879505010877E-2</v>
      </c>
      <c r="AG26" s="5">
        <f t="shared" si="7"/>
        <v>1.1632979414221837E-2</v>
      </c>
      <c r="AH26" s="7">
        <f t="shared" si="8"/>
        <v>3803309.0300000003</v>
      </c>
    </row>
    <row r="27" spans="1:34" x14ac:dyDescent="0.4">
      <c r="A27" s="1">
        <v>2016</v>
      </c>
      <c r="B27" s="2" t="s">
        <v>29</v>
      </c>
      <c r="C27" s="3">
        <v>6679272.1500000004</v>
      </c>
      <c r="D27" s="3">
        <v>-1691457.78</v>
      </c>
      <c r="E27" s="4">
        <f t="shared" si="9"/>
        <v>4987814.37</v>
      </c>
      <c r="F27" s="3">
        <v>8126.15</v>
      </c>
      <c r="G27" s="2">
        <f>-3096862.61-1210159.49+69206.01-373680.71</f>
        <v>-4611496.8</v>
      </c>
      <c r="I27" s="3">
        <v>384443.72</v>
      </c>
      <c r="J27" s="3">
        <v>-156061.94</v>
      </c>
      <c r="K27" s="3">
        <v>228381.78</v>
      </c>
      <c r="M27" s="3">
        <v>-117073.74</v>
      </c>
      <c r="N27" s="3">
        <v>111308.04</v>
      </c>
      <c r="O27" s="3">
        <v>1638808.72</v>
      </c>
      <c r="P27" s="3">
        <v>941599.99</v>
      </c>
      <c r="Q27" s="2">
        <f>4853626.08+538231.52</f>
        <v>5391857.5999999996</v>
      </c>
      <c r="R27" s="3">
        <v>513473.31</v>
      </c>
      <c r="S27" s="3">
        <v>6846930.9000000004</v>
      </c>
      <c r="T27" s="3">
        <v>8485739.6199999992</v>
      </c>
      <c r="U27" s="3">
        <f t="shared" si="12"/>
        <v>3808716.0900000008</v>
      </c>
      <c r="V27" s="3">
        <f>117073.74+106586.39</f>
        <v>223660.13</v>
      </c>
      <c r="W27" s="3">
        <v>5386298.9800000004</v>
      </c>
      <c r="X27" s="3">
        <v>472165.24</v>
      </c>
      <c r="Y27" s="3">
        <v>1353922.76</v>
      </c>
      <c r="Z27" s="3">
        <f t="shared" si="14"/>
        <v>1826088</v>
      </c>
      <c r="AA27" s="3">
        <v>5386298.9800000004</v>
      </c>
      <c r="AB27" s="3">
        <v>2961575.64</v>
      </c>
      <c r="AC27" s="3">
        <f t="shared" si="3"/>
        <v>8485739.6199999992</v>
      </c>
      <c r="AD27" s="5">
        <f t="shared" si="4"/>
        <v>0.74676016457871086</v>
      </c>
      <c r="AE27" s="5">
        <f t="shared" si="5"/>
        <v>3.4192614834537019E-2</v>
      </c>
      <c r="AF27" s="5">
        <f t="shared" si="6"/>
        <v>1.6664696017813854E-2</v>
      </c>
      <c r="AG27" s="5">
        <f t="shared" si="7"/>
        <v>1.3117069929609742E-2</v>
      </c>
      <c r="AH27" s="7">
        <f t="shared" si="8"/>
        <v>3099440.6399999987</v>
      </c>
    </row>
    <row r="28" spans="1:34" x14ac:dyDescent="0.4">
      <c r="A28" s="1">
        <v>2017</v>
      </c>
      <c r="B28" s="2" t="s">
        <v>29</v>
      </c>
      <c r="C28" s="3">
        <v>6899024.9299999997</v>
      </c>
      <c r="D28" s="3">
        <v>-1707856.24</v>
      </c>
      <c r="E28" s="3">
        <f t="shared" si="9"/>
        <v>5191168.6899999995</v>
      </c>
      <c r="F28" s="3">
        <v>39783.78</v>
      </c>
      <c r="G28" s="3">
        <f>-3084997.7-1195921-124634.19</f>
        <v>-4405552.8900000006</v>
      </c>
      <c r="H28" s="3">
        <v>0</v>
      </c>
      <c r="I28" s="3">
        <v>825399.57</v>
      </c>
      <c r="J28" s="3">
        <v>-150417.22</v>
      </c>
      <c r="K28" s="3">
        <v>674982.35</v>
      </c>
      <c r="L28" s="3">
        <v>0</v>
      </c>
      <c r="M28" s="3">
        <v>-176763.76</v>
      </c>
      <c r="N28" s="3">
        <v>498218.59</v>
      </c>
      <c r="O28" s="3">
        <v>1524463.52</v>
      </c>
      <c r="P28" s="3">
        <v>924211.65</v>
      </c>
      <c r="Q28" s="3">
        <v>4872000.1900000004</v>
      </c>
      <c r="R28" s="3">
        <v>510255.84</v>
      </c>
      <c r="S28" s="3">
        <v>6306467.6799999997</v>
      </c>
      <c r="T28" s="3">
        <v>7830931.2000000002</v>
      </c>
      <c r="U28" s="3">
        <f t="shared" si="12"/>
        <v>2073328.07</v>
      </c>
      <c r="V28" s="3">
        <f>176763.76+63366.76</f>
        <v>240130.52000000002</v>
      </c>
      <c r="W28" s="3">
        <v>4167589.89</v>
      </c>
      <c r="X28" s="3">
        <v>150000</v>
      </c>
      <c r="Y28" s="3">
        <v>1854131.3</v>
      </c>
      <c r="Z28" s="3">
        <f t="shared" si="14"/>
        <v>2004131.3</v>
      </c>
      <c r="AA28" s="3">
        <v>4317589.8899999997</v>
      </c>
      <c r="AB28" s="3">
        <v>3359238.23</v>
      </c>
      <c r="AC28" s="3">
        <f t="shared" si="3"/>
        <v>7830931.2000000002</v>
      </c>
      <c r="AD28" s="5">
        <f t="shared" si="4"/>
        <v>0.75244962044223251</v>
      </c>
      <c r="AE28" s="5">
        <f t="shared" si="5"/>
        <v>9.7837354821676228E-2</v>
      </c>
      <c r="AF28" s="5">
        <f t="shared" si="6"/>
        <v>7.2215797892471165E-2</v>
      </c>
      <c r="AG28" s="5">
        <f t="shared" si="7"/>
        <v>6.3621883180380895E-2</v>
      </c>
      <c r="AH28" s="7">
        <f t="shared" si="8"/>
        <v>3663341.31</v>
      </c>
    </row>
    <row r="29" spans="1:34" x14ac:dyDescent="0.4">
      <c r="A29" s="1">
        <v>2018</v>
      </c>
      <c r="B29" s="2" t="s">
        <v>29</v>
      </c>
      <c r="C29" s="3">
        <v>7003913.4000000004</v>
      </c>
      <c r="D29" s="3">
        <v>-1788881.53</v>
      </c>
      <c r="E29" s="3">
        <f t="shared" si="9"/>
        <v>5215031.87</v>
      </c>
      <c r="F29" s="3">
        <v>32392.560000000001</v>
      </c>
      <c r="G29" s="3">
        <f>-3248851.19-1206010.24-37079.82</f>
        <v>-4491941.25</v>
      </c>
      <c r="H29" s="3">
        <v>0</v>
      </c>
      <c r="I29" s="3">
        <v>755483.18</v>
      </c>
      <c r="J29" s="3">
        <v>-118796.97</v>
      </c>
      <c r="K29" s="3">
        <v>636686.21</v>
      </c>
      <c r="L29" s="3">
        <v>0</v>
      </c>
      <c r="M29" s="3">
        <v>-206039.18</v>
      </c>
      <c r="N29" s="3">
        <v>430647.03</v>
      </c>
      <c r="O29" s="3">
        <v>1437205.4</v>
      </c>
      <c r="P29" s="3">
        <v>956018.32</v>
      </c>
      <c r="Q29" s="3">
        <v>4778043.59</v>
      </c>
      <c r="R29" s="3">
        <v>473363.79</v>
      </c>
      <c r="S29" s="3">
        <v>6207425.7000000002</v>
      </c>
      <c r="T29" s="3">
        <v>7644631.0999999996</v>
      </c>
      <c r="U29" s="3">
        <f t="shared" si="12"/>
        <v>2032918.07</v>
      </c>
      <c r="V29" s="3">
        <f>206039.18+72233.05</f>
        <v>278272.23</v>
      </c>
      <c r="W29" s="3">
        <v>2965903.08</v>
      </c>
      <c r="X29" s="3">
        <v>1018626.76</v>
      </c>
      <c r="Y29" s="3">
        <v>654712.78</v>
      </c>
      <c r="Z29" s="3">
        <f t="shared" si="14"/>
        <v>1673339.54</v>
      </c>
      <c r="AA29" s="3">
        <v>3984897.6</v>
      </c>
      <c r="AB29" s="3">
        <v>3488217.26</v>
      </c>
      <c r="AC29" s="3">
        <f t="shared" si="3"/>
        <v>7644631.0999999996</v>
      </c>
      <c r="AD29" s="5">
        <f t="shared" si="4"/>
        <v>0.74458828545766997</v>
      </c>
      <c r="AE29" s="5">
        <f t="shared" si="5"/>
        <v>9.0904352129767899E-2</v>
      </c>
      <c r="AF29" s="5">
        <f t="shared" si="6"/>
        <v>6.1486629746164478E-2</v>
      </c>
      <c r="AG29" s="5">
        <f t="shared" si="7"/>
        <v>5.6333265054477256E-2</v>
      </c>
      <c r="AH29" s="7">
        <f t="shared" si="8"/>
        <v>4678728.0199999996</v>
      </c>
    </row>
    <row r="30" spans="1:34" x14ac:dyDescent="0.4">
      <c r="A30" s="1">
        <v>2019</v>
      </c>
      <c r="B30" s="2" t="s">
        <v>29</v>
      </c>
      <c r="C30" s="3">
        <v>7055357.1399999997</v>
      </c>
      <c r="D30" s="3">
        <v>-1795235.91</v>
      </c>
      <c r="E30" s="3">
        <f t="shared" si="9"/>
        <v>5260121.2299999995</v>
      </c>
      <c r="F30" s="3">
        <v>56963.99</v>
      </c>
      <c r="G30" s="3">
        <f>-3272022.28-1194758.19</f>
        <v>-4466780.47</v>
      </c>
      <c r="H30" s="3">
        <v>0</v>
      </c>
      <c r="I30" s="3">
        <v>841080.55</v>
      </c>
      <c r="J30" s="3">
        <v>-106540.73</v>
      </c>
      <c r="K30" s="3">
        <v>734539.82</v>
      </c>
      <c r="L30" s="3">
        <v>0</v>
      </c>
      <c r="M30" s="3">
        <v>-182869.85</v>
      </c>
      <c r="N30" s="3">
        <v>551669.97</v>
      </c>
      <c r="O30" s="3">
        <v>1372455.49</v>
      </c>
      <c r="P30" s="3">
        <v>979773.54</v>
      </c>
      <c r="Q30" s="3">
        <v>5013518.46</v>
      </c>
      <c r="R30" s="3">
        <v>771960.09</v>
      </c>
      <c r="S30" s="3">
        <v>6765252.0899999999</v>
      </c>
      <c r="T30" s="3">
        <v>8137707.5800000001</v>
      </c>
      <c r="U30" s="3">
        <f t="shared" si="12"/>
        <v>2536943.75</v>
      </c>
      <c r="V30" s="3">
        <f>288.11+182869.85</f>
        <v>183157.96</v>
      </c>
      <c r="W30" s="3">
        <v>3522914.46</v>
      </c>
      <c r="X30" s="3">
        <v>990936.64</v>
      </c>
      <c r="Y30" s="3">
        <v>802812.75</v>
      </c>
      <c r="Z30" s="3">
        <f t="shared" si="14"/>
        <v>1793749.3900000001</v>
      </c>
      <c r="AA30" s="3">
        <v>4513851.0999999996</v>
      </c>
      <c r="AB30" s="3">
        <v>3439331.23</v>
      </c>
      <c r="AC30" s="3">
        <f t="shared" si="3"/>
        <v>8137707.5800000001</v>
      </c>
      <c r="AD30" s="5">
        <f t="shared" si="4"/>
        <v>0.74554995950212088</v>
      </c>
      <c r="AE30" s="5">
        <f t="shared" si="5"/>
        <v>0.10411093378045494</v>
      </c>
      <c r="AF30" s="5">
        <f t="shared" si="6"/>
        <v>7.8191643463707064E-2</v>
      </c>
      <c r="AG30" s="5">
        <f t="shared" si="7"/>
        <v>6.7791815394772387E-2</v>
      </c>
      <c r="AH30" s="7">
        <f t="shared" si="8"/>
        <v>4614793.12</v>
      </c>
    </row>
    <row r="31" spans="1:34" x14ac:dyDescent="0.4">
      <c r="A31" s="1">
        <v>2020</v>
      </c>
      <c r="B31" s="2" t="s">
        <v>29</v>
      </c>
      <c r="C31" s="3">
        <v>8113690.8300000001</v>
      </c>
      <c r="D31" s="3">
        <v>-1919707.51</v>
      </c>
      <c r="E31" s="3">
        <f t="shared" si="9"/>
        <v>6193983.3200000003</v>
      </c>
      <c r="F31" s="3">
        <v>133524.98000000001</v>
      </c>
      <c r="G31" s="3">
        <f>-3447702.92-1221675.32-136206.8</f>
        <v>-4805585.04</v>
      </c>
      <c r="H31" s="3">
        <v>0</v>
      </c>
      <c r="I31" s="3">
        <v>1521923.26</v>
      </c>
      <c r="J31" s="3">
        <v>-99055.4</v>
      </c>
      <c r="K31" s="3">
        <v>1422867.86</v>
      </c>
      <c r="L31" s="3">
        <v>0</v>
      </c>
      <c r="M31" s="3">
        <v>-336246.2</v>
      </c>
      <c r="N31" s="3">
        <v>1086621.6599999999</v>
      </c>
      <c r="O31" s="3">
        <v>1309441.17</v>
      </c>
      <c r="P31" s="3">
        <v>1010590.05</v>
      </c>
      <c r="Q31" s="3">
        <v>5526460.9699999997</v>
      </c>
      <c r="R31" s="3">
        <v>2292786.02</v>
      </c>
      <c r="S31" s="3">
        <v>8829837.0399999991</v>
      </c>
      <c r="T31" s="3">
        <v>10139278.210000001</v>
      </c>
      <c r="U31" s="3">
        <f t="shared" si="12"/>
        <v>2822786.5300000003</v>
      </c>
      <c r="V31" s="3">
        <f>336246.2+7698.03</f>
        <v>343944.23000000004</v>
      </c>
      <c r="W31" s="3">
        <v>4283283.83</v>
      </c>
      <c r="X31" s="3">
        <v>1925895.92</v>
      </c>
      <c r="Y31" s="3">
        <v>1116553.07</v>
      </c>
      <c r="Z31" s="3">
        <f t="shared" si="14"/>
        <v>3042448.99</v>
      </c>
      <c r="AA31" s="3">
        <v>6209179.75</v>
      </c>
      <c r="AB31" s="3">
        <v>3703184.89</v>
      </c>
      <c r="AC31" s="3">
        <f t="shared" si="3"/>
        <v>10139278.210000001</v>
      </c>
      <c r="AD31" s="5">
        <f t="shared" si="4"/>
        <v>0.76339898201420631</v>
      </c>
      <c r="AE31" s="5">
        <f t="shared" si="5"/>
        <v>0.17536629011534571</v>
      </c>
      <c r="AF31" s="5">
        <f t="shared" si="6"/>
        <v>0.1339244596284426</v>
      </c>
      <c r="AG31" s="5">
        <f t="shared" si="7"/>
        <v>0.10716952799739773</v>
      </c>
      <c r="AH31" s="7">
        <f t="shared" si="8"/>
        <v>5855994.3800000008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ΑΛΕΞΑΝΔΡΟΣ ΚΟΥΤΡΟΥΛΑΡΗΣ</dc:creator>
  <cp:lastModifiedBy>ΑΛΕΞΑΝΔΡΟΣ ΚΟΥΤΡΟΥΛΑΡΗΣ</cp:lastModifiedBy>
  <dcterms:created xsi:type="dcterms:W3CDTF">2015-06-05T18:19:34Z</dcterms:created>
  <dcterms:modified xsi:type="dcterms:W3CDTF">2023-02-17T15:56:11Z</dcterms:modified>
</cp:coreProperties>
</file>