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3"/>
  <workbookPr/>
  <mc:AlternateContent xmlns:mc="http://schemas.openxmlformats.org/markup-compatibility/2006">
    <mc:Choice Requires="x15">
      <x15ac:absPath xmlns:x15ac="http://schemas.microsoft.com/office/spreadsheetml/2010/11/ac" url="https://d.docs.live.net/506a708389be33d1/Escritorio/portafolio_chilexpress/Proyecto1_Limpieza/data/raw/"/>
    </mc:Choice>
  </mc:AlternateContent>
  <xr:revisionPtr revIDLastSave="2" documentId="13_ncr:1_{ED1F888A-A62C-40C1-852F-3D233C9EFDA1}" xr6:coauthVersionLast="47" xr6:coauthVersionMax="47" xr10:uidLastSave="{4DC70FA4-E1CB-4976-A7B3-572E48BF6071}"/>
  <bookViews>
    <workbookView xWindow="-108" yWindow="-108" windowWidth="23256" windowHeight="12456" tabRatio="995" xr2:uid="{00000000-000D-0000-FFFF-FFFF00000000}"/>
  </bookViews>
  <sheets>
    <sheet name="2022 Estimado" sheetId="1" r:id="rId1"/>
    <sheet name="Graficos" sheetId="2" state="hidden" r:id="rId2"/>
    <sheet name="Categorías GHG" sheetId="3" r:id="rId3"/>
    <sheet name="Indice" sheetId="4" r:id="rId4"/>
    <sheet name="Ppt" sheetId="5" r:id="rId5"/>
    <sheet name="2022 Resumen" sheetId="6" r:id="rId6"/>
    <sheet name="1. Demanda" sheetId="7" r:id="rId7"/>
    <sheet name="2. Distribución" sheetId="8" r:id="rId8"/>
    <sheet name="3. Transporte aéreo" sheetId="9" r:id="rId9"/>
    <sheet name="4. Transporte troncal" sheetId="10" r:id="rId10"/>
    <sheet name="5. Bienes y servicios" sheetId="11" r:id="rId11"/>
    <sheet name="6. Traslado colaboradores" sheetId="12" r:id="rId12"/>
    <sheet name="7. Energia Electrica" sheetId="13" r:id="rId13"/>
    <sheet name="8. Insumos y Empaque" sheetId="14" r:id="rId14"/>
    <sheet name="9. Residuos" sheetId="15" r:id="rId15"/>
    <sheet name="10. Bienes de capital" sheetId="16" r:id="rId16"/>
    <sheet name="11. Refrigerantes" sheetId="17" r:id="rId17"/>
    <sheet name="12. Viajes de Negocio" sheetId="18" r:id="rId18"/>
    <sheet name="13. Combustible Fuentes fijas" sheetId="19" r:id="rId19"/>
    <sheet name="A3 - Transporte empaque e insum" sheetId="20" state="hidden" r:id="rId20"/>
    <sheet name="A3 - Transporte colaboradores" sheetId="21" r:id="rId21"/>
    <sheet name="A3- Transporte colaboradores 2" sheetId="22" state="hidden" r:id="rId22"/>
    <sheet name="Factores Emisión EDGE" sheetId="23" r:id="rId23"/>
    <sheet name="simapro" sheetId="24" r:id="rId24"/>
  </sheets>
  <definedNames>
    <definedName name="_xlnm._FilterDatabase" localSheetId="15" hidden="1">'10. Bienes de capital'!$G$22:$M$30</definedName>
    <definedName name="_xlnm._FilterDatabase" localSheetId="8" hidden="1">'3. Transporte aéreo'!$B$10:$G$64</definedName>
    <definedName name="_xlnm._FilterDatabase" localSheetId="10" hidden="1">'5. Bienes y servicios'!$M$15:$Q$33</definedName>
    <definedName name="_xlnm._FilterDatabase" localSheetId="20" hidden="1">'A3 - Transporte colaboradores'!$K$1:$K$583</definedName>
    <definedName name="_xlnm._FilterDatabase" localSheetId="19" hidden="1">'A3 - Transporte empaque e insum'!$B$13:$F$18</definedName>
    <definedName name="_xlnm._FilterDatabase" localSheetId="21" hidden="1">'A3- Transporte colaboradores 2'!$A$1:$N$588</definedName>
    <definedName name="AGROCHEMICAL">#REF!</definedName>
    <definedName name="Base_year">#REF!</definedName>
    <definedName name="BAU_Absolute">OFFSET(#REF!,0,0,DCOUNTA(#REF!,"BAU Absolute",#REF!))</definedName>
    <definedName name="BAU_Absolute_S3">OFFSET(#REF!,0,0,DCOUNTA(#REF!,"BAU Absolute S3",#REF!))</definedName>
    <definedName name="BAU_Intensity">OFFSET(#REF!,0,0, DCOUNTA(#REF!,"BAU Intensity",#REF!))</definedName>
    <definedName name="BAU_Intensity_S3">OFFSET(#REF!,0,0,DCOUNTA(#REF!,"BAU Intensity S3",#REF!))</definedName>
    <definedName name="Col_Abs_Emissions">#REF!</definedName>
    <definedName name="Col_activity">#REF!</definedName>
    <definedName name="Col_activity_target">#REF!</definedName>
    <definedName name="Col_Company_Intensity">#REF!</definedName>
    <definedName name="Col_IEA_Conv">#REF!</definedName>
    <definedName name="Col_IEA_data">#REF!</definedName>
    <definedName name="Col_index">#REF!</definedName>
    <definedName name="Col_input_data">#REF!</definedName>
    <definedName name="Col_My">#REF!</definedName>
    <definedName name="Col_Sect_Intens">#REF!</definedName>
    <definedName name="CommentsRequired">#REF!</definedName>
    <definedName name="COUNTRY">#REF!</definedName>
    <definedName name="Date">OFFSET(#REF!,0,0, DCOUNTA(#REF!,"Date",#REF!))</definedName>
    <definedName name="dererere">#REF!</definedName>
    <definedName name="Distance">#REF!</definedName>
    <definedName name="DistanceType">#REF!</definedName>
    <definedName name="edgeCAT">#REF!</definedName>
    <definedName name="EmissionsFactor">#REF!</definedName>
    <definedName name="EmissionsFactorRegion">#REF!</definedName>
    <definedName name="EmissionsFactorType">#REF!</definedName>
    <definedName name="FUEL">#REF!</definedName>
    <definedName name="Fuels">#REF!</definedName>
    <definedName name="FUELSOURCE">#REF!</definedName>
    <definedName name="Land">#REF!</definedName>
    <definedName name="Lst_activity_corporate">#REF!</definedName>
    <definedName name="Lst_activity_fleet">#REF!</definedName>
    <definedName name="Lst_activity_mobile_network">#REF!</definedName>
    <definedName name="Lst_activity_total">#REF!</definedName>
    <definedName name="Lst_geos">#REF!</definedName>
    <definedName name="Lst_Scope_fleet">#REF!</definedName>
    <definedName name="Lst_scope1">#REF!</definedName>
    <definedName name="Lst_Scope1_2">#REF!</definedName>
    <definedName name="Lst_Scope1_2_3">#REF!</definedName>
    <definedName name="Lst_scope2">#REF!</definedName>
    <definedName name="Lst_Scope3">#REF!</definedName>
    <definedName name="Lst_SDA_mapping">#REF!</definedName>
    <definedName name="Lst_SDA_sectors">#REF!</definedName>
    <definedName name="Lst_sectors">#REF!</definedName>
    <definedName name="MinD">#REF!</definedName>
    <definedName name="MinF">#REF!</definedName>
    <definedName name="MinM">#REF!</definedName>
    <definedName name="noABN">#REF!</definedName>
    <definedName name="PJ_to_TWh">#REF!</definedName>
    <definedName name="Renewable_energy">#REF!</definedName>
    <definedName name="Row_Abs_Emissions">#REF!</definedName>
    <definedName name="Row_activity">#REF!</definedName>
    <definedName name="Row_activity_target">#REF!</definedName>
    <definedName name="Row_Company_Intensity">#REF!</definedName>
    <definedName name="Row_IEA_conv">#REF!</definedName>
    <definedName name="Row_IEA_data">#REF!</definedName>
    <definedName name="Row_index">#REF!</definedName>
    <definedName name="Row_input_data">#REF!</definedName>
    <definedName name="Row_My">#REF!</definedName>
    <definedName name="Row_Sect_Intens">#REF!</definedName>
    <definedName name="Row_units">#REF!</definedName>
    <definedName name="SAPBEXrevision">1</definedName>
    <definedName name="SAPBEXsysID">"BWP"</definedName>
    <definedName name="SAPBEXwbID">"7OS4YLUQR6T8A4M0IRUUMOF7L"</definedName>
    <definedName name="soiltypedrop">#REF!</definedName>
    <definedName name="SummaryDisplay">#REF!</definedName>
    <definedName name="Target_Intensity">OFFSET(#REF!,0,0, DCOUNTA(#REF!,"Target Intensity",#REF!))</definedName>
    <definedName name="Target_Intensity_S3">OFFSET(#REF!,0,0,DCOUNTA(#REF!,"Target Intensity S3",#REF!))</definedName>
    <definedName name="Target_year">#REF!</definedName>
    <definedName name="Tbl_Abs_Emissions">#REF!</definedName>
    <definedName name="Tbl_activity">#REF!</definedName>
    <definedName name="Tbl_activity_target">#REF!</definedName>
    <definedName name="Tbl_Company_Intensity">#REF!</definedName>
    <definedName name="Tbl_IEA_conv">#REF!</definedName>
    <definedName name="Tbl_IEA_data">#REF!</definedName>
    <definedName name="Tbl_index">#REF!</definedName>
    <definedName name="Tbl_input_data">#REF!</definedName>
    <definedName name="Tbl_My">#REF!</definedName>
    <definedName name="Tbl_Sect_Intens">#REF!</definedName>
    <definedName name="Tbl_units">#REF!</definedName>
    <definedName name="Tbl_units_factor">#REF!</definedName>
    <definedName name="Transport">#REF!</definedName>
    <definedName name="TransportRegion">#REF!</definedName>
    <definedName name="TransportType">#REF!</definedName>
    <definedName name="unitofwaste">#REF!</definedName>
    <definedName name="wastedestination">#REF!</definedName>
    <definedName name="waterwaysdrop">#REF!</definedName>
    <definedName name="Z_1837ED07_EA69_11D3_9D55_00508B13D311_.wvu.PrintArea">#REF!</definedName>
    <definedName name="Z_5C7537C2_D734_4B42_91C1_BA48AAEF2F9C_.wvu.FilterData" localSheetId="10" hidden="1">'5. Bienes y servicios'!$P$92:$W$217</definedName>
  </definedNames>
  <calcPr calcId="191029"/>
  <customWorkbookViews>
    <customWorkbookView name="Filtro 1" guid="{5C7537C2-D734-4B42-91C1-BA48AAEF2F9C}"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0" roundtripDataChecksum="W69if168kPWVdVoD7hN20Taurgh6leTIYjomLEtcrWc="/>
    </ext>
  </extLst>
</workbook>
</file>

<file path=xl/calcChain.xml><?xml version="1.0" encoding="utf-8"?>
<calcChain xmlns="http://schemas.openxmlformats.org/spreadsheetml/2006/main">
  <c r="L265" i="23" l="1"/>
  <c r="L260" i="23"/>
  <c r="L263" i="23" s="1"/>
  <c r="L258" i="23"/>
  <c r="L266" i="23" s="1"/>
  <c r="L257" i="23"/>
  <c r="L264" i="23" s="1"/>
  <c r="L255" i="23"/>
  <c r="L254" i="23"/>
  <c r="L261" i="23" s="1"/>
  <c r="L217" i="23"/>
  <c r="L216" i="23"/>
  <c r="L203" i="23"/>
  <c r="L202" i="23"/>
  <c r="L200" i="23"/>
  <c r="I167" i="23"/>
  <c r="I166" i="23"/>
  <c r="I165" i="23"/>
  <c r="I164" i="23"/>
  <c r="I163" i="23"/>
  <c r="I162" i="23"/>
  <c r="I161" i="23"/>
  <c r="I160" i="23"/>
  <c r="I159" i="23"/>
  <c r="I158" i="23"/>
  <c r="I157" i="23"/>
  <c r="I156" i="23"/>
  <c r="I155" i="23"/>
  <c r="I154" i="23"/>
  <c r="I153" i="23"/>
  <c r="I152" i="23"/>
  <c r="I151" i="23"/>
  <c r="I150" i="23"/>
  <c r="I149" i="23"/>
  <c r="I148" i="23"/>
  <c r="I147" i="23"/>
  <c r="I146" i="23"/>
  <c r="I145" i="23"/>
  <c r="I144" i="23"/>
  <c r="I143" i="23"/>
  <c r="I142" i="23"/>
  <c r="I141" i="23"/>
  <c r="I140" i="23"/>
  <c r="I139" i="23"/>
  <c r="L138" i="23"/>
  <c r="I138" i="23"/>
  <c r="I137" i="23"/>
  <c r="L136" i="23"/>
  <c r="I136" i="23"/>
  <c r="I135" i="23"/>
  <c r="L134" i="23"/>
  <c r="I134" i="23"/>
  <c r="I133" i="23"/>
  <c r="L132" i="23"/>
  <c r="L133" i="23" s="1"/>
  <c r="I132" i="23"/>
  <c r="I131" i="23"/>
  <c r="I130" i="23"/>
  <c r="L129" i="23"/>
  <c r="I129" i="23"/>
  <c r="I128" i="23"/>
  <c r="I127" i="23"/>
  <c r="I126" i="23"/>
  <c r="I125" i="23"/>
  <c r="I124" i="23"/>
  <c r="I123" i="23"/>
  <c r="I122" i="23"/>
  <c r="I121" i="23"/>
  <c r="L108" i="23"/>
  <c r="R34" i="23"/>
  <c r="R33" i="23"/>
  <c r="Z30" i="23"/>
  <c r="AA30" i="23" s="1"/>
  <c r="Y29" i="23" s="1"/>
  <c r="Z29" i="23"/>
  <c r="AD22" i="23"/>
  <c r="AE22" i="23" s="1"/>
  <c r="Y24" i="23" s="1"/>
  <c r="Z24" i="23" s="1"/>
  <c r="Z21" i="23" s="1"/>
  <c r="Z22" i="23" s="1"/>
  <c r="X21" i="23" s="1"/>
  <c r="V26" i="23" s="1"/>
  <c r="Y21" i="23"/>
  <c r="L18" i="23"/>
  <c r="Z17" i="23"/>
  <c r="L17" i="23"/>
  <c r="L16" i="23"/>
  <c r="L15" i="23"/>
  <c r="L14" i="23"/>
  <c r="L12" i="23"/>
  <c r="L11" i="23"/>
  <c r="L10" i="23"/>
  <c r="L8" i="23"/>
  <c r="L9" i="23" s="1"/>
  <c r="L7" i="23"/>
  <c r="I588" i="22" a="1"/>
  <c r="I588" i="22" s="1"/>
  <c r="L588" i="22" s="1"/>
  <c r="H588" i="22" a="1"/>
  <c r="H588" i="22" s="1"/>
  <c r="K588" i="22" s="1"/>
  <c r="I587" i="22" a="1"/>
  <c r="I587" i="22" s="1"/>
  <c r="L587" i="22" s="1"/>
  <c r="H587" i="22" a="1"/>
  <c r="H587" i="22" s="1"/>
  <c r="K587" i="22" s="1"/>
  <c r="I586" i="22" a="1"/>
  <c r="I586" i="22" s="1"/>
  <c r="L586" i="22" s="1"/>
  <c r="H586" i="22" a="1"/>
  <c r="H586" i="22" s="1"/>
  <c r="K586" i="22" s="1"/>
  <c r="I585" i="22" a="1"/>
  <c r="I585" i="22" s="1"/>
  <c r="L585" i="22" s="1"/>
  <c r="H585" i="22" a="1"/>
  <c r="H585" i="22" s="1"/>
  <c r="K585" i="22" s="1"/>
  <c r="I584" i="22" a="1"/>
  <c r="I584" i="22" s="1"/>
  <c r="L584" i="22" s="1"/>
  <c r="H584" i="22" a="1"/>
  <c r="H584" i="22" s="1"/>
  <c r="K584" i="22" s="1"/>
  <c r="I583" i="22" a="1"/>
  <c r="I583" i="22" s="1"/>
  <c r="L583" i="22" s="1"/>
  <c r="H583" i="22" a="1"/>
  <c r="H583" i="22" s="1"/>
  <c r="K583" i="22" s="1"/>
  <c r="I582" i="22" a="1"/>
  <c r="I582" i="22" s="1"/>
  <c r="L582" i="22" s="1"/>
  <c r="H582" i="22" a="1"/>
  <c r="H582" i="22" s="1"/>
  <c r="K582" i="22" s="1"/>
  <c r="I581" i="22" a="1"/>
  <c r="I581" i="22" s="1"/>
  <c r="L581" i="22" s="1"/>
  <c r="H581" i="22" a="1"/>
  <c r="H581" i="22" s="1"/>
  <c r="K581" i="22" s="1"/>
  <c r="I580" i="22" a="1"/>
  <c r="I580" i="22" s="1"/>
  <c r="L580" i="22" s="1"/>
  <c r="H580" i="22" a="1"/>
  <c r="H580" i="22" s="1"/>
  <c r="K580" i="22" s="1"/>
  <c r="I579" i="22" a="1"/>
  <c r="I579" i="22" s="1"/>
  <c r="L579" i="22" s="1"/>
  <c r="H579" i="22" a="1"/>
  <c r="H579" i="22" s="1"/>
  <c r="K579" i="22" s="1"/>
  <c r="I578" i="22" a="1"/>
  <c r="I578" i="22" s="1"/>
  <c r="L578" i="22" s="1"/>
  <c r="H578" i="22" a="1"/>
  <c r="H578" i="22" s="1"/>
  <c r="K578" i="22" s="1"/>
  <c r="I577" i="22" a="1"/>
  <c r="I577" i="22" s="1"/>
  <c r="L577" i="22" s="1"/>
  <c r="H577" i="22" a="1"/>
  <c r="H577" i="22" s="1"/>
  <c r="K577" i="22" s="1"/>
  <c r="I576" i="22" a="1"/>
  <c r="I576" i="22" s="1"/>
  <c r="L576" i="22" s="1"/>
  <c r="H576" i="22" a="1"/>
  <c r="H576" i="22" s="1"/>
  <c r="K576" i="22" s="1"/>
  <c r="I575" i="22" a="1"/>
  <c r="I575" i="22" s="1"/>
  <c r="L575" i="22" s="1"/>
  <c r="H575" i="22" a="1"/>
  <c r="H575" i="22" s="1"/>
  <c r="K575" i="22" s="1"/>
  <c r="I574" i="22" a="1"/>
  <c r="I574" i="22" s="1"/>
  <c r="L574" i="22" s="1"/>
  <c r="H574" i="22" a="1"/>
  <c r="H574" i="22" s="1"/>
  <c r="K574" i="22" s="1"/>
  <c r="I573" i="22" a="1"/>
  <c r="I573" i="22" s="1"/>
  <c r="L573" i="22" s="1"/>
  <c r="H573" i="22" a="1"/>
  <c r="H573" i="22" s="1"/>
  <c r="K573" i="22" s="1"/>
  <c r="I572" i="22" a="1"/>
  <c r="I572" i="22" s="1"/>
  <c r="L572" i="22" s="1"/>
  <c r="H572" i="22" a="1"/>
  <c r="H572" i="22" s="1"/>
  <c r="K572" i="22" s="1"/>
  <c r="I571" i="22" a="1"/>
  <c r="I571" i="22" s="1"/>
  <c r="L571" i="22" s="1"/>
  <c r="H571" i="22" a="1"/>
  <c r="H571" i="22" s="1"/>
  <c r="K571" i="22" s="1"/>
  <c r="I570" i="22" a="1"/>
  <c r="I570" i="22" s="1"/>
  <c r="L570" i="22" s="1"/>
  <c r="H570" i="22" a="1"/>
  <c r="H570" i="22" s="1"/>
  <c r="K570" i="22" s="1"/>
  <c r="I569" i="22" a="1"/>
  <c r="I569" i="22" s="1"/>
  <c r="L569" i="22" s="1"/>
  <c r="H569" i="22" a="1"/>
  <c r="H569" i="22" s="1"/>
  <c r="K569" i="22" s="1"/>
  <c r="I568" i="22" a="1"/>
  <c r="I568" i="22" s="1"/>
  <c r="L568" i="22" s="1"/>
  <c r="H568" i="22" a="1"/>
  <c r="H568" i="22" s="1"/>
  <c r="K568" i="22" s="1"/>
  <c r="I567" i="22" a="1"/>
  <c r="I567" i="22" s="1"/>
  <c r="L567" i="22" s="1"/>
  <c r="H567" i="22" a="1"/>
  <c r="H567" i="22" s="1"/>
  <c r="K567" i="22" s="1"/>
  <c r="I566" i="22" a="1"/>
  <c r="I566" i="22" s="1"/>
  <c r="L566" i="22" s="1"/>
  <c r="H566" i="22" a="1"/>
  <c r="H566" i="22" s="1"/>
  <c r="K566" i="22" s="1"/>
  <c r="I565" i="22" a="1"/>
  <c r="I565" i="22" s="1"/>
  <c r="L565" i="22" s="1"/>
  <c r="H565" i="22" a="1"/>
  <c r="H565" i="22" s="1"/>
  <c r="K565" i="22" s="1"/>
  <c r="I564" i="22" a="1"/>
  <c r="I564" i="22" s="1"/>
  <c r="L564" i="22" s="1"/>
  <c r="H564" i="22" a="1"/>
  <c r="H564" i="22" s="1"/>
  <c r="K564" i="22" s="1"/>
  <c r="I563" i="22" a="1"/>
  <c r="I563" i="22" s="1"/>
  <c r="L563" i="22" s="1"/>
  <c r="H563" i="22" a="1"/>
  <c r="H563" i="22" s="1"/>
  <c r="K563" i="22" s="1"/>
  <c r="I562" i="22" a="1"/>
  <c r="I562" i="22" s="1"/>
  <c r="L562" i="22" s="1"/>
  <c r="H562" i="22" a="1"/>
  <c r="H562" i="22" s="1"/>
  <c r="K562" i="22" s="1"/>
  <c r="I561" i="22" a="1"/>
  <c r="I561" i="22" s="1"/>
  <c r="L561" i="22" s="1"/>
  <c r="H561" i="22" a="1"/>
  <c r="H561" i="22" s="1"/>
  <c r="K561" i="22" s="1"/>
  <c r="I560" i="22" a="1"/>
  <c r="I560" i="22" s="1"/>
  <c r="L560" i="22" s="1"/>
  <c r="H560" i="22" a="1"/>
  <c r="H560" i="22" s="1"/>
  <c r="K560" i="22" s="1"/>
  <c r="I559" i="22" a="1"/>
  <c r="I559" i="22" s="1"/>
  <c r="L559" i="22" s="1"/>
  <c r="H559" i="22" a="1"/>
  <c r="H559" i="22" s="1"/>
  <c r="K559" i="22" s="1"/>
  <c r="I558" i="22" a="1"/>
  <c r="I558" i="22" s="1"/>
  <c r="L558" i="22" s="1"/>
  <c r="H558" i="22" a="1"/>
  <c r="H558" i="22" s="1"/>
  <c r="K558" i="22" s="1"/>
  <c r="I557" i="22" a="1"/>
  <c r="I557" i="22" s="1"/>
  <c r="L557" i="22" s="1"/>
  <c r="H557" i="22" a="1"/>
  <c r="H557" i="22" s="1"/>
  <c r="K557" i="22" s="1"/>
  <c r="I556" i="22" a="1"/>
  <c r="I556" i="22" s="1"/>
  <c r="L556" i="22" s="1"/>
  <c r="H556" i="22" a="1"/>
  <c r="H556" i="22" s="1"/>
  <c r="K556" i="22" s="1"/>
  <c r="I555" i="22" a="1"/>
  <c r="I555" i="22" s="1"/>
  <c r="L555" i="22" s="1"/>
  <c r="H555" i="22" a="1"/>
  <c r="H555" i="22" s="1"/>
  <c r="K555" i="22" s="1"/>
  <c r="I554" i="22" a="1"/>
  <c r="I554" i="22" s="1"/>
  <c r="L554" i="22" s="1"/>
  <c r="H554" i="22" a="1"/>
  <c r="H554" i="22" s="1"/>
  <c r="K554" i="22" s="1"/>
  <c r="I553" i="22" a="1"/>
  <c r="I553" i="22" s="1"/>
  <c r="L553" i="22" s="1"/>
  <c r="H553" i="22" a="1"/>
  <c r="H553" i="22" s="1"/>
  <c r="K553" i="22" s="1"/>
  <c r="I552" i="22" a="1"/>
  <c r="I552" i="22" s="1"/>
  <c r="L552" i="22" s="1"/>
  <c r="H552" i="22" a="1"/>
  <c r="H552" i="22" s="1"/>
  <c r="K552" i="22" s="1"/>
  <c r="I551" i="22" a="1"/>
  <c r="I551" i="22" s="1"/>
  <c r="L551" i="22" s="1"/>
  <c r="H551" i="22" a="1"/>
  <c r="H551" i="22" s="1"/>
  <c r="K551" i="22" s="1"/>
  <c r="I550" i="22" a="1"/>
  <c r="I550" i="22" s="1"/>
  <c r="L550" i="22" s="1"/>
  <c r="H550" i="22" a="1"/>
  <c r="H550" i="22" s="1"/>
  <c r="K550" i="22" s="1"/>
  <c r="I549" i="22" a="1"/>
  <c r="I549" i="22" s="1"/>
  <c r="L549" i="22" s="1"/>
  <c r="H549" i="22" a="1"/>
  <c r="H549" i="22" s="1"/>
  <c r="K549" i="22" s="1"/>
  <c r="I548" i="22" a="1"/>
  <c r="I548" i="22" s="1"/>
  <c r="L548" i="22" s="1"/>
  <c r="H548" i="22" a="1"/>
  <c r="H548" i="22" s="1"/>
  <c r="K548" i="22" s="1"/>
  <c r="I547" i="22" a="1"/>
  <c r="I547" i="22" s="1"/>
  <c r="L547" i="22" s="1"/>
  <c r="H547" i="22" a="1"/>
  <c r="H547" i="22" s="1"/>
  <c r="K547" i="22" s="1"/>
  <c r="I546" i="22" a="1"/>
  <c r="I546" i="22" s="1"/>
  <c r="L546" i="22" s="1"/>
  <c r="H546" i="22" a="1"/>
  <c r="H546" i="22" s="1"/>
  <c r="K546" i="22" s="1"/>
  <c r="I545" i="22" a="1"/>
  <c r="I545" i="22" s="1"/>
  <c r="L545" i="22" s="1"/>
  <c r="H545" i="22" a="1"/>
  <c r="H545" i="22" s="1"/>
  <c r="K545" i="22" s="1"/>
  <c r="I544" i="22" a="1"/>
  <c r="I544" i="22" s="1"/>
  <c r="L544" i="22" s="1"/>
  <c r="H544" i="22" a="1"/>
  <c r="H544" i="22" s="1"/>
  <c r="K544" i="22" s="1"/>
  <c r="I543" i="22" a="1"/>
  <c r="I543" i="22" s="1"/>
  <c r="L543" i="22" s="1"/>
  <c r="H543" i="22" a="1"/>
  <c r="H543" i="22" s="1"/>
  <c r="K543" i="22" s="1"/>
  <c r="I542" i="22" a="1"/>
  <c r="I542" i="22" s="1"/>
  <c r="L542" i="22" s="1"/>
  <c r="H542" i="22" a="1"/>
  <c r="H542" i="22" s="1"/>
  <c r="K542" i="22" s="1"/>
  <c r="I541" i="22" a="1"/>
  <c r="I541" i="22" s="1"/>
  <c r="L541" i="22" s="1"/>
  <c r="H541" i="22" a="1"/>
  <c r="H541" i="22" s="1"/>
  <c r="K541" i="22" s="1"/>
  <c r="I540" i="22" a="1"/>
  <c r="I540" i="22" s="1"/>
  <c r="L540" i="22" s="1"/>
  <c r="H540" i="22" a="1"/>
  <c r="H540" i="22" s="1"/>
  <c r="K540" i="22" s="1"/>
  <c r="I539" i="22" a="1"/>
  <c r="I539" i="22" s="1"/>
  <c r="L539" i="22" s="1"/>
  <c r="H539" i="22" a="1"/>
  <c r="H539" i="22" s="1"/>
  <c r="K539" i="22" s="1"/>
  <c r="I538" i="22" a="1"/>
  <c r="I538" i="22" s="1"/>
  <c r="L538" i="22" s="1"/>
  <c r="H538" i="22" a="1"/>
  <c r="H538" i="22" s="1"/>
  <c r="K538" i="22" s="1"/>
  <c r="I537" i="22" a="1"/>
  <c r="I537" i="22" s="1"/>
  <c r="L537" i="22" s="1"/>
  <c r="H537" i="22" a="1"/>
  <c r="H537" i="22" s="1"/>
  <c r="K537" i="22" s="1"/>
  <c r="I536" i="22" a="1"/>
  <c r="I536" i="22" s="1"/>
  <c r="L536" i="22" s="1"/>
  <c r="H536" i="22" a="1"/>
  <c r="H536" i="22" s="1"/>
  <c r="K536" i="22" s="1"/>
  <c r="I535" i="22" a="1"/>
  <c r="I535" i="22" s="1"/>
  <c r="L535" i="22" s="1"/>
  <c r="H535" i="22" a="1"/>
  <c r="H535" i="22" s="1"/>
  <c r="K535" i="22" s="1"/>
  <c r="I534" i="22" a="1"/>
  <c r="I534" i="22" s="1"/>
  <c r="L534" i="22" s="1"/>
  <c r="H534" i="22" a="1"/>
  <c r="H534" i="22" s="1"/>
  <c r="K534" i="22" s="1"/>
  <c r="I533" i="22" a="1"/>
  <c r="I533" i="22" s="1"/>
  <c r="L533" i="22" s="1"/>
  <c r="H533" i="22" a="1"/>
  <c r="H533" i="22" s="1"/>
  <c r="K533" i="22" s="1"/>
  <c r="I532" i="22" a="1"/>
  <c r="I532" i="22" s="1"/>
  <c r="L532" i="22" s="1"/>
  <c r="H532" i="22" a="1"/>
  <c r="H532" i="22" s="1"/>
  <c r="K532" i="22" s="1"/>
  <c r="I531" i="22" a="1"/>
  <c r="I531" i="22" s="1"/>
  <c r="L531" i="22" s="1"/>
  <c r="H531" i="22" a="1"/>
  <c r="H531" i="22" s="1"/>
  <c r="K531" i="22" s="1"/>
  <c r="I530" i="22" a="1"/>
  <c r="I530" i="22" s="1"/>
  <c r="L530" i="22" s="1"/>
  <c r="H530" i="22" a="1"/>
  <c r="H530" i="22" s="1"/>
  <c r="K530" i="22" s="1"/>
  <c r="I529" i="22" a="1"/>
  <c r="I529" i="22" s="1"/>
  <c r="L529" i="22" s="1"/>
  <c r="H529" i="22" a="1"/>
  <c r="H529" i="22" s="1"/>
  <c r="K529" i="22" s="1"/>
  <c r="I528" i="22" a="1"/>
  <c r="I528" i="22" s="1"/>
  <c r="L528" i="22" s="1"/>
  <c r="H528" i="22" a="1"/>
  <c r="H528" i="22" s="1"/>
  <c r="K528" i="22" s="1"/>
  <c r="I527" i="22" a="1"/>
  <c r="I527" i="22" s="1"/>
  <c r="L527" i="22" s="1"/>
  <c r="H527" i="22" a="1"/>
  <c r="H527" i="22" s="1"/>
  <c r="K527" i="22" s="1"/>
  <c r="I526" i="22" a="1"/>
  <c r="I526" i="22" s="1"/>
  <c r="L526" i="22" s="1"/>
  <c r="H526" i="22" a="1"/>
  <c r="H526" i="22" s="1"/>
  <c r="K526" i="22" s="1"/>
  <c r="I525" i="22" a="1"/>
  <c r="I525" i="22" s="1"/>
  <c r="L525" i="22" s="1"/>
  <c r="H525" i="22" a="1"/>
  <c r="H525" i="22" s="1"/>
  <c r="K525" i="22" s="1"/>
  <c r="I524" i="22" a="1"/>
  <c r="I524" i="22" s="1"/>
  <c r="L524" i="22" s="1"/>
  <c r="H524" i="22" a="1"/>
  <c r="H524" i="22" s="1"/>
  <c r="K524" i="22" s="1"/>
  <c r="I523" i="22" a="1"/>
  <c r="I523" i="22" s="1"/>
  <c r="L523" i="22" s="1"/>
  <c r="H523" i="22" a="1"/>
  <c r="H523" i="22" s="1"/>
  <c r="K523" i="22" s="1"/>
  <c r="I522" i="22" a="1"/>
  <c r="I522" i="22" s="1"/>
  <c r="L522" i="22" s="1"/>
  <c r="H522" i="22" a="1"/>
  <c r="H522" i="22" s="1"/>
  <c r="K522" i="22" s="1"/>
  <c r="I521" i="22" a="1"/>
  <c r="I521" i="22" s="1"/>
  <c r="L521" i="22" s="1"/>
  <c r="H521" i="22" a="1"/>
  <c r="H521" i="22" s="1"/>
  <c r="K521" i="22" s="1"/>
  <c r="I520" i="22" a="1"/>
  <c r="I520" i="22" s="1"/>
  <c r="L520" i="22" s="1"/>
  <c r="H520" i="22" a="1"/>
  <c r="H520" i="22" s="1"/>
  <c r="K520" i="22" s="1"/>
  <c r="I519" i="22" a="1"/>
  <c r="I519" i="22" s="1"/>
  <c r="L519" i="22" s="1"/>
  <c r="H519" i="22" a="1"/>
  <c r="H519" i="22" s="1"/>
  <c r="K519" i="22" s="1"/>
  <c r="I518" i="22" a="1"/>
  <c r="I518" i="22" s="1"/>
  <c r="L518" i="22" s="1"/>
  <c r="H518" i="22" a="1"/>
  <c r="H518" i="22" s="1"/>
  <c r="K518" i="22" s="1"/>
  <c r="I517" i="22" a="1"/>
  <c r="I517" i="22" s="1"/>
  <c r="L517" i="22" s="1"/>
  <c r="H517" i="22" a="1"/>
  <c r="H517" i="22" s="1"/>
  <c r="K517" i="22" s="1"/>
  <c r="I516" i="22" a="1"/>
  <c r="I516" i="22" s="1"/>
  <c r="L516" i="22" s="1"/>
  <c r="H516" i="22" a="1"/>
  <c r="H516" i="22" s="1"/>
  <c r="K516" i="22" s="1"/>
  <c r="I515" i="22" a="1"/>
  <c r="I515" i="22" s="1"/>
  <c r="L515" i="22" s="1"/>
  <c r="H515" i="22" a="1"/>
  <c r="H515" i="22" s="1"/>
  <c r="K515" i="22" s="1"/>
  <c r="I514" i="22" a="1"/>
  <c r="I514" i="22" s="1"/>
  <c r="L514" i="22" s="1"/>
  <c r="H514" i="22" a="1"/>
  <c r="H514" i="22" s="1"/>
  <c r="K514" i="22" s="1"/>
  <c r="I513" i="22" a="1"/>
  <c r="I513" i="22" s="1"/>
  <c r="L513" i="22" s="1"/>
  <c r="H513" i="22" a="1"/>
  <c r="H513" i="22" s="1"/>
  <c r="K513" i="22" s="1"/>
  <c r="I512" i="22" a="1"/>
  <c r="I512" i="22" s="1"/>
  <c r="L512" i="22" s="1"/>
  <c r="H512" i="22" a="1"/>
  <c r="H512" i="22" s="1"/>
  <c r="K512" i="22" s="1"/>
  <c r="I511" i="22" a="1"/>
  <c r="I511" i="22" s="1"/>
  <c r="L511" i="22" s="1"/>
  <c r="H511" i="22" a="1"/>
  <c r="H511" i="22" s="1"/>
  <c r="K511" i="22" s="1"/>
  <c r="I510" i="22" a="1"/>
  <c r="I510" i="22" s="1"/>
  <c r="L510" i="22" s="1"/>
  <c r="H510" i="22" a="1"/>
  <c r="H510" i="22" s="1"/>
  <c r="K510" i="22" s="1"/>
  <c r="I509" i="22" a="1"/>
  <c r="I509" i="22" s="1"/>
  <c r="L509" i="22" s="1"/>
  <c r="H509" i="22" a="1"/>
  <c r="H509" i="22" s="1"/>
  <c r="K509" i="22" s="1"/>
  <c r="I508" i="22" a="1"/>
  <c r="I508" i="22" s="1"/>
  <c r="L508" i="22" s="1"/>
  <c r="H508" i="22" a="1"/>
  <c r="H508" i="22" s="1"/>
  <c r="K508" i="22" s="1"/>
  <c r="I507" i="22" a="1"/>
  <c r="I507" i="22" s="1"/>
  <c r="L507" i="22" s="1"/>
  <c r="H507" i="22" a="1"/>
  <c r="H507" i="22" s="1"/>
  <c r="K507" i="22" s="1"/>
  <c r="I506" i="22" a="1"/>
  <c r="I506" i="22" s="1"/>
  <c r="L506" i="22" s="1"/>
  <c r="H506" i="22" a="1"/>
  <c r="H506" i="22" s="1"/>
  <c r="K506" i="22" s="1"/>
  <c r="I505" i="22" a="1"/>
  <c r="I505" i="22" s="1"/>
  <c r="L505" i="22" s="1"/>
  <c r="H505" i="22" a="1"/>
  <c r="H505" i="22" s="1"/>
  <c r="K505" i="22" s="1"/>
  <c r="I504" i="22" a="1"/>
  <c r="I504" i="22" s="1"/>
  <c r="L504" i="22" s="1"/>
  <c r="H504" i="22" a="1"/>
  <c r="H504" i="22" s="1"/>
  <c r="K504" i="22" s="1"/>
  <c r="I503" i="22" a="1"/>
  <c r="I503" i="22" s="1"/>
  <c r="L503" i="22" s="1"/>
  <c r="H503" i="22" a="1"/>
  <c r="H503" i="22" s="1"/>
  <c r="K503" i="22" s="1"/>
  <c r="I502" i="22" a="1"/>
  <c r="I502" i="22" s="1"/>
  <c r="L502" i="22" s="1"/>
  <c r="H502" i="22" a="1"/>
  <c r="H502" i="22" s="1"/>
  <c r="K502" i="22" s="1"/>
  <c r="I501" i="22" a="1"/>
  <c r="I501" i="22" s="1"/>
  <c r="L501" i="22" s="1"/>
  <c r="H501" i="22" a="1"/>
  <c r="H501" i="22" s="1"/>
  <c r="K501" i="22" s="1"/>
  <c r="I500" i="22" a="1"/>
  <c r="I500" i="22" s="1"/>
  <c r="L500" i="22" s="1"/>
  <c r="H500" i="22" a="1"/>
  <c r="H500" i="22" s="1"/>
  <c r="K500" i="22" s="1"/>
  <c r="I499" i="22" a="1"/>
  <c r="I499" i="22" s="1"/>
  <c r="L499" i="22" s="1"/>
  <c r="H499" i="22" a="1"/>
  <c r="H499" i="22" s="1"/>
  <c r="K499" i="22" s="1"/>
  <c r="I498" i="22" a="1"/>
  <c r="I498" i="22" s="1"/>
  <c r="L498" i="22" s="1"/>
  <c r="H498" i="22" a="1"/>
  <c r="H498" i="22" s="1"/>
  <c r="K498" i="22" s="1"/>
  <c r="I497" i="22" a="1"/>
  <c r="I497" i="22" s="1"/>
  <c r="L497" i="22" s="1"/>
  <c r="H497" i="22" a="1"/>
  <c r="H497" i="22" s="1"/>
  <c r="K497" i="22" s="1"/>
  <c r="I496" i="22" a="1"/>
  <c r="I496" i="22" s="1"/>
  <c r="L496" i="22" s="1"/>
  <c r="H496" i="22" a="1"/>
  <c r="H496" i="22" s="1"/>
  <c r="K496" i="22" s="1"/>
  <c r="I495" i="22" a="1"/>
  <c r="I495" i="22" s="1"/>
  <c r="L495" i="22" s="1"/>
  <c r="H495" i="22" a="1"/>
  <c r="H495" i="22" s="1"/>
  <c r="K495" i="22" s="1"/>
  <c r="I494" i="22" a="1"/>
  <c r="I494" i="22" s="1"/>
  <c r="L494" i="22" s="1"/>
  <c r="H494" i="22" a="1"/>
  <c r="H494" i="22" s="1"/>
  <c r="K494" i="22" s="1"/>
  <c r="I493" i="22" a="1"/>
  <c r="I493" i="22" s="1"/>
  <c r="L493" i="22" s="1"/>
  <c r="H493" i="22" a="1"/>
  <c r="H493" i="22" s="1"/>
  <c r="K493" i="22" s="1"/>
  <c r="I492" i="22" a="1"/>
  <c r="I492" i="22" s="1"/>
  <c r="L492" i="22" s="1"/>
  <c r="H492" i="22" a="1"/>
  <c r="H492" i="22" s="1"/>
  <c r="K492" i="22" s="1"/>
  <c r="I491" i="22" a="1"/>
  <c r="I491" i="22" s="1"/>
  <c r="L491" i="22" s="1"/>
  <c r="H491" i="22" a="1"/>
  <c r="H491" i="22" s="1"/>
  <c r="K491" i="22" s="1"/>
  <c r="I490" i="22" a="1"/>
  <c r="I490" i="22" s="1"/>
  <c r="L490" i="22" s="1"/>
  <c r="H490" i="22" a="1"/>
  <c r="H490" i="22" s="1"/>
  <c r="K490" i="22" s="1"/>
  <c r="I489" i="22" a="1"/>
  <c r="I489" i="22" s="1"/>
  <c r="L489" i="22" s="1"/>
  <c r="H489" i="22" a="1"/>
  <c r="H489" i="22" s="1"/>
  <c r="K489" i="22" s="1"/>
  <c r="I488" i="22" a="1"/>
  <c r="I488" i="22" s="1"/>
  <c r="L488" i="22" s="1"/>
  <c r="H488" i="22" a="1"/>
  <c r="H488" i="22" s="1"/>
  <c r="K488" i="22" s="1"/>
  <c r="I487" i="22" a="1"/>
  <c r="I487" i="22" s="1"/>
  <c r="L487" i="22" s="1"/>
  <c r="H487" i="22" a="1"/>
  <c r="H487" i="22" s="1"/>
  <c r="K487" i="22" s="1"/>
  <c r="I486" i="22" a="1"/>
  <c r="I486" i="22" s="1"/>
  <c r="L486" i="22" s="1"/>
  <c r="H486" i="22" a="1"/>
  <c r="H486" i="22" s="1"/>
  <c r="K486" i="22" s="1"/>
  <c r="I485" i="22" a="1"/>
  <c r="I485" i="22" s="1"/>
  <c r="L485" i="22" s="1"/>
  <c r="H485" i="22" a="1"/>
  <c r="H485" i="22" s="1"/>
  <c r="K485" i="22" s="1"/>
  <c r="I484" i="22" a="1"/>
  <c r="I484" i="22" s="1"/>
  <c r="L484" i="22" s="1"/>
  <c r="H484" i="22" a="1"/>
  <c r="H484" i="22" s="1"/>
  <c r="K484" i="22" s="1"/>
  <c r="I483" i="22" a="1"/>
  <c r="I483" i="22" s="1"/>
  <c r="L483" i="22" s="1"/>
  <c r="H483" i="22" a="1"/>
  <c r="H483" i="22" s="1"/>
  <c r="K483" i="22" s="1"/>
  <c r="I482" i="22" a="1"/>
  <c r="I482" i="22" s="1"/>
  <c r="L482" i="22" s="1"/>
  <c r="H482" i="22" a="1"/>
  <c r="H482" i="22" s="1"/>
  <c r="K482" i="22" s="1"/>
  <c r="I481" i="22" a="1"/>
  <c r="I481" i="22" s="1"/>
  <c r="L481" i="22" s="1"/>
  <c r="H481" i="22" a="1"/>
  <c r="H481" i="22" s="1"/>
  <c r="K481" i="22" s="1"/>
  <c r="I480" i="22" a="1"/>
  <c r="I480" i="22" s="1"/>
  <c r="L480" i="22" s="1"/>
  <c r="H480" i="22" a="1"/>
  <c r="H480" i="22" s="1"/>
  <c r="K480" i="22" s="1"/>
  <c r="I479" i="22" a="1"/>
  <c r="I479" i="22" s="1"/>
  <c r="L479" i="22" s="1"/>
  <c r="H479" i="22" a="1"/>
  <c r="H479" i="22" s="1"/>
  <c r="K479" i="22" s="1"/>
  <c r="I478" i="22" a="1"/>
  <c r="I478" i="22" s="1"/>
  <c r="L478" i="22" s="1"/>
  <c r="H478" i="22" a="1"/>
  <c r="H478" i="22" s="1"/>
  <c r="K478" i="22" s="1"/>
  <c r="I477" i="22" a="1"/>
  <c r="I477" i="22" s="1"/>
  <c r="L477" i="22" s="1"/>
  <c r="H477" i="22" a="1"/>
  <c r="H477" i="22" s="1"/>
  <c r="K477" i="22" s="1"/>
  <c r="I476" i="22" a="1"/>
  <c r="I476" i="22" s="1"/>
  <c r="L476" i="22" s="1"/>
  <c r="H476" i="22" a="1"/>
  <c r="H476" i="22" s="1"/>
  <c r="K476" i="22" s="1"/>
  <c r="I475" i="22" a="1"/>
  <c r="I475" i="22" s="1"/>
  <c r="L475" i="22" s="1"/>
  <c r="H475" i="22" a="1"/>
  <c r="H475" i="22" s="1"/>
  <c r="K475" i="22" s="1"/>
  <c r="I474" i="22" a="1"/>
  <c r="I474" i="22" s="1"/>
  <c r="L474" i="22" s="1"/>
  <c r="H474" i="22" a="1"/>
  <c r="H474" i="22" s="1"/>
  <c r="K474" i="22" s="1"/>
  <c r="I473" i="22" a="1"/>
  <c r="I473" i="22" s="1"/>
  <c r="L473" i="22" s="1"/>
  <c r="H473" i="22" a="1"/>
  <c r="H473" i="22" s="1"/>
  <c r="K473" i="22" s="1"/>
  <c r="I472" i="22" a="1"/>
  <c r="I472" i="22" s="1"/>
  <c r="L472" i="22" s="1"/>
  <c r="H472" i="22" a="1"/>
  <c r="H472" i="22" s="1"/>
  <c r="K472" i="22" s="1"/>
  <c r="I471" i="22" a="1"/>
  <c r="I471" i="22" s="1"/>
  <c r="L471" i="22" s="1"/>
  <c r="H471" i="22" a="1"/>
  <c r="H471" i="22" s="1"/>
  <c r="K471" i="22" s="1"/>
  <c r="I470" i="22" a="1"/>
  <c r="I470" i="22" s="1"/>
  <c r="L470" i="22" s="1"/>
  <c r="H470" i="22" a="1"/>
  <c r="H470" i="22" s="1"/>
  <c r="K470" i="22" s="1"/>
  <c r="I469" i="22" a="1"/>
  <c r="I469" i="22" s="1"/>
  <c r="L469" i="22" s="1"/>
  <c r="H469" i="22" a="1"/>
  <c r="H469" i="22" s="1"/>
  <c r="K469" i="22" s="1"/>
  <c r="I468" i="22" a="1"/>
  <c r="I468" i="22" s="1"/>
  <c r="L468" i="22" s="1"/>
  <c r="H468" i="22" a="1"/>
  <c r="H468" i="22" s="1"/>
  <c r="K468" i="22" s="1"/>
  <c r="I467" i="22" a="1"/>
  <c r="I467" i="22" s="1"/>
  <c r="L467" i="22" s="1"/>
  <c r="H467" i="22" a="1"/>
  <c r="H467" i="22" s="1"/>
  <c r="K467" i="22" s="1"/>
  <c r="I466" i="22" a="1"/>
  <c r="I466" i="22" s="1"/>
  <c r="L466" i="22" s="1"/>
  <c r="H466" i="22" a="1"/>
  <c r="H466" i="22" s="1"/>
  <c r="K466" i="22" s="1"/>
  <c r="I465" i="22" a="1"/>
  <c r="I465" i="22" s="1"/>
  <c r="L465" i="22" s="1"/>
  <c r="H465" i="22" a="1"/>
  <c r="H465" i="22" s="1"/>
  <c r="K465" i="22" s="1"/>
  <c r="I464" i="22" a="1"/>
  <c r="I464" i="22" s="1"/>
  <c r="L464" i="22" s="1"/>
  <c r="H464" i="22" a="1"/>
  <c r="H464" i="22" s="1"/>
  <c r="K464" i="22" s="1"/>
  <c r="I463" i="22" a="1"/>
  <c r="I463" i="22" s="1"/>
  <c r="L463" i="22" s="1"/>
  <c r="H463" i="22" a="1"/>
  <c r="H463" i="22" s="1"/>
  <c r="K463" i="22" s="1"/>
  <c r="I462" i="22" a="1"/>
  <c r="I462" i="22" s="1"/>
  <c r="L462" i="22" s="1"/>
  <c r="H462" i="22" a="1"/>
  <c r="H462" i="22" s="1"/>
  <c r="K462" i="22" s="1"/>
  <c r="I461" i="22" a="1"/>
  <c r="I461" i="22" s="1"/>
  <c r="L461" i="22" s="1"/>
  <c r="H461" i="22" a="1"/>
  <c r="H461" i="22" s="1"/>
  <c r="K461" i="22" s="1"/>
  <c r="I460" i="22" a="1"/>
  <c r="I460" i="22" s="1"/>
  <c r="L460" i="22" s="1"/>
  <c r="H460" i="22" a="1"/>
  <c r="H460" i="22" s="1"/>
  <c r="K460" i="22" s="1"/>
  <c r="I459" i="22" a="1"/>
  <c r="I459" i="22" s="1"/>
  <c r="L459" i="22" s="1"/>
  <c r="H459" i="22" a="1"/>
  <c r="H459" i="22" s="1"/>
  <c r="K459" i="22" s="1"/>
  <c r="I458" i="22" a="1"/>
  <c r="I458" i="22" s="1"/>
  <c r="L458" i="22" s="1"/>
  <c r="H458" i="22" a="1"/>
  <c r="H458" i="22" s="1"/>
  <c r="K458" i="22" s="1"/>
  <c r="I457" i="22" a="1"/>
  <c r="I457" i="22" s="1"/>
  <c r="L457" i="22" s="1"/>
  <c r="H457" i="22" a="1"/>
  <c r="H457" i="22" s="1"/>
  <c r="K457" i="22" s="1"/>
  <c r="I456" i="22" a="1"/>
  <c r="I456" i="22" s="1"/>
  <c r="L456" i="22" s="1"/>
  <c r="H456" i="22" a="1"/>
  <c r="H456" i="22" s="1"/>
  <c r="K456" i="22" s="1"/>
  <c r="I455" i="22" a="1"/>
  <c r="I455" i="22" s="1"/>
  <c r="L455" i="22" s="1"/>
  <c r="H455" i="22" a="1"/>
  <c r="H455" i="22" s="1"/>
  <c r="K455" i="22" s="1"/>
  <c r="I454" i="22" a="1"/>
  <c r="I454" i="22" s="1"/>
  <c r="L454" i="22" s="1"/>
  <c r="H454" i="22" a="1"/>
  <c r="H454" i="22" s="1"/>
  <c r="K454" i="22" s="1"/>
  <c r="I453" i="22" a="1"/>
  <c r="I453" i="22" s="1"/>
  <c r="L453" i="22" s="1"/>
  <c r="H453" i="22" a="1"/>
  <c r="H453" i="22" s="1"/>
  <c r="K453" i="22" s="1"/>
  <c r="I452" i="22" a="1"/>
  <c r="I452" i="22" s="1"/>
  <c r="L452" i="22" s="1"/>
  <c r="H452" i="22" a="1"/>
  <c r="H452" i="22" s="1"/>
  <c r="K452" i="22" s="1"/>
  <c r="I451" i="22" a="1"/>
  <c r="I451" i="22" s="1"/>
  <c r="L451" i="22" s="1"/>
  <c r="H451" i="22" a="1"/>
  <c r="H451" i="22" s="1"/>
  <c r="K451" i="22" s="1"/>
  <c r="I450" i="22" a="1"/>
  <c r="I450" i="22" s="1"/>
  <c r="L450" i="22" s="1"/>
  <c r="H450" i="22" a="1"/>
  <c r="H450" i="22" s="1"/>
  <c r="K450" i="22" s="1"/>
  <c r="I449" i="22" a="1"/>
  <c r="I449" i="22" s="1"/>
  <c r="L449" i="22" s="1"/>
  <c r="H449" i="22" a="1"/>
  <c r="H449" i="22" s="1"/>
  <c r="K449" i="22" s="1"/>
  <c r="I448" i="22" a="1"/>
  <c r="I448" i="22" s="1"/>
  <c r="L448" i="22" s="1"/>
  <c r="H448" i="22" a="1"/>
  <c r="H448" i="22" s="1"/>
  <c r="K448" i="22" s="1"/>
  <c r="I447" i="22" a="1"/>
  <c r="I447" i="22" s="1"/>
  <c r="L447" i="22" s="1"/>
  <c r="H447" i="22" a="1"/>
  <c r="H447" i="22" s="1"/>
  <c r="K447" i="22" s="1"/>
  <c r="I446" i="22" a="1"/>
  <c r="I446" i="22" s="1"/>
  <c r="L446" i="22" s="1"/>
  <c r="H446" i="22" a="1"/>
  <c r="H446" i="22" s="1"/>
  <c r="K446" i="22" s="1"/>
  <c r="I445" i="22" a="1"/>
  <c r="I445" i="22" s="1"/>
  <c r="L445" i="22" s="1"/>
  <c r="H445" i="22" a="1"/>
  <c r="H445" i="22" s="1"/>
  <c r="K445" i="22" s="1"/>
  <c r="I444" i="22" a="1"/>
  <c r="I444" i="22" s="1"/>
  <c r="L444" i="22" s="1"/>
  <c r="H444" i="22" a="1"/>
  <c r="H444" i="22" s="1"/>
  <c r="K444" i="22" s="1"/>
  <c r="I443" i="22" a="1"/>
  <c r="I443" i="22" s="1"/>
  <c r="L443" i="22" s="1"/>
  <c r="H443" i="22" a="1"/>
  <c r="H443" i="22" s="1"/>
  <c r="K443" i="22" s="1"/>
  <c r="I442" i="22" a="1"/>
  <c r="I442" i="22" s="1"/>
  <c r="L442" i="22" s="1"/>
  <c r="H442" i="22" a="1"/>
  <c r="H442" i="22" s="1"/>
  <c r="K442" i="22" s="1"/>
  <c r="I441" i="22" a="1"/>
  <c r="I441" i="22" s="1"/>
  <c r="L441" i="22" s="1"/>
  <c r="H441" i="22" a="1"/>
  <c r="H441" i="22" s="1"/>
  <c r="K441" i="22" s="1"/>
  <c r="I440" i="22" a="1"/>
  <c r="I440" i="22" s="1"/>
  <c r="L440" i="22" s="1"/>
  <c r="H440" i="22" a="1"/>
  <c r="H440" i="22" s="1"/>
  <c r="K440" i="22" s="1"/>
  <c r="I439" i="22" a="1"/>
  <c r="I439" i="22" s="1"/>
  <c r="L439" i="22" s="1"/>
  <c r="H439" i="22" a="1"/>
  <c r="H439" i="22" s="1"/>
  <c r="K439" i="22" s="1"/>
  <c r="I438" i="22" a="1"/>
  <c r="I438" i="22" s="1"/>
  <c r="L438" i="22" s="1"/>
  <c r="H438" i="22" a="1"/>
  <c r="H438" i="22" s="1"/>
  <c r="K438" i="22" s="1"/>
  <c r="I437" i="22" a="1"/>
  <c r="I437" i="22" s="1"/>
  <c r="L437" i="22" s="1"/>
  <c r="H437" i="22" a="1"/>
  <c r="H437" i="22" s="1"/>
  <c r="K437" i="22" s="1"/>
  <c r="I436" i="22" a="1"/>
  <c r="I436" i="22" s="1"/>
  <c r="L436" i="22" s="1"/>
  <c r="H436" i="22" a="1"/>
  <c r="H436" i="22" s="1"/>
  <c r="K436" i="22" s="1"/>
  <c r="I435" i="22" a="1"/>
  <c r="I435" i="22" s="1"/>
  <c r="L435" i="22" s="1"/>
  <c r="H435" i="22" a="1"/>
  <c r="H435" i="22" s="1"/>
  <c r="K435" i="22" s="1"/>
  <c r="I434" i="22" a="1"/>
  <c r="I434" i="22" s="1"/>
  <c r="L434" i="22" s="1"/>
  <c r="H434" i="22" a="1"/>
  <c r="H434" i="22" s="1"/>
  <c r="K434" i="22" s="1"/>
  <c r="I433" i="22" a="1"/>
  <c r="I433" i="22" s="1"/>
  <c r="L433" i="22" s="1"/>
  <c r="H433" i="22" a="1"/>
  <c r="H433" i="22" s="1"/>
  <c r="K433" i="22" s="1"/>
  <c r="I432" i="22" a="1"/>
  <c r="I432" i="22" s="1"/>
  <c r="L432" i="22" s="1"/>
  <c r="H432" i="22" a="1"/>
  <c r="H432" i="22" s="1"/>
  <c r="K432" i="22" s="1"/>
  <c r="I431" i="22" a="1"/>
  <c r="I431" i="22" s="1"/>
  <c r="L431" i="22" s="1"/>
  <c r="H431" i="22" a="1"/>
  <c r="H431" i="22" s="1"/>
  <c r="K431" i="22" s="1"/>
  <c r="I430" i="22" a="1"/>
  <c r="I430" i="22" s="1"/>
  <c r="L430" i="22" s="1"/>
  <c r="H430" i="22" a="1"/>
  <c r="H430" i="22" s="1"/>
  <c r="K430" i="22" s="1"/>
  <c r="I429" i="22" a="1"/>
  <c r="I429" i="22" s="1"/>
  <c r="L429" i="22" s="1"/>
  <c r="H429" i="22" a="1"/>
  <c r="H429" i="22" s="1"/>
  <c r="K429" i="22" s="1"/>
  <c r="I428" i="22" a="1"/>
  <c r="I428" i="22" s="1"/>
  <c r="L428" i="22" s="1"/>
  <c r="H428" i="22" a="1"/>
  <c r="H428" i="22" s="1"/>
  <c r="K428" i="22" s="1"/>
  <c r="I427" i="22" a="1"/>
  <c r="I427" i="22" s="1"/>
  <c r="L427" i="22" s="1"/>
  <c r="H427" i="22" a="1"/>
  <c r="H427" i="22" s="1"/>
  <c r="K427" i="22" s="1"/>
  <c r="I426" i="22" a="1"/>
  <c r="I426" i="22" s="1"/>
  <c r="L426" i="22" s="1"/>
  <c r="H426" i="22" a="1"/>
  <c r="H426" i="22" s="1"/>
  <c r="K426" i="22" s="1"/>
  <c r="I425" i="22" a="1"/>
  <c r="I425" i="22" s="1"/>
  <c r="L425" i="22" s="1"/>
  <c r="H425" i="22" a="1"/>
  <c r="H425" i="22" s="1"/>
  <c r="K425" i="22" s="1"/>
  <c r="I424" i="22" a="1"/>
  <c r="I424" i="22" s="1"/>
  <c r="L424" i="22" s="1"/>
  <c r="H424" i="22" a="1"/>
  <c r="H424" i="22" s="1"/>
  <c r="K424" i="22" s="1"/>
  <c r="I423" i="22" a="1"/>
  <c r="I423" i="22" s="1"/>
  <c r="L423" i="22" s="1"/>
  <c r="H423" i="22" a="1"/>
  <c r="H423" i="22" s="1"/>
  <c r="K423" i="22" s="1"/>
  <c r="I422" i="22" a="1"/>
  <c r="I422" i="22" s="1"/>
  <c r="L422" i="22" s="1"/>
  <c r="H422" i="22" a="1"/>
  <c r="H422" i="22" s="1"/>
  <c r="K422" i="22" s="1"/>
  <c r="I421" i="22" a="1"/>
  <c r="I421" i="22" s="1"/>
  <c r="L421" i="22" s="1"/>
  <c r="H421" i="22" a="1"/>
  <c r="H421" i="22" s="1"/>
  <c r="K421" i="22" s="1"/>
  <c r="I420" i="22" a="1"/>
  <c r="I420" i="22" s="1"/>
  <c r="L420" i="22" s="1"/>
  <c r="H420" i="22" a="1"/>
  <c r="H420" i="22" s="1"/>
  <c r="K420" i="22" s="1"/>
  <c r="I419" i="22" a="1"/>
  <c r="I419" i="22" s="1"/>
  <c r="L419" i="22" s="1"/>
  <c r="H419" i="22" a="1"/>
  <c r="H419" i="22" s="1"/>
  <c r="K419" i="22" s="1"/>
  <c r="I418" i="22" a="1"/>
  <c r="I418" i="22" s="1"/>
  <c r="L418" i="22" s="1"/>
  <c r="H418" i="22" a="1"/>
  <c r="H418" i="22" s="1"/>
  <c r="K418" i="22" s="1"/>
  <c r="I417" i="22" a="1"/>
  <c r="I417" i="22" s="1"/>
  <c r="L417" i="22" s="1"/>
  <c r="H417" i="22" a="1"/>
  <c r="H417" i="22" s="1"/>
  <c r="K417" i="22" s="1"/>
  <c r="I416" i="22" a="1"/>
  <c r="I416" i="22" s="1"/>
  <c r="L416" i="22" s="1"/>
  <c r="H416" i="22" a="1"/>
  <c r="H416" i="22" s="1"/>
  <c r="K416" i="22" s="1"/>
  <c r="I415" i="22" a="1"/>
  <c r="I415" i="22" s="1"/>
  <c r="L415" i="22" s="1"/>
  <c r="H415" i="22" a="1"/>
  <c r="H415" i="22" s="1"/>
  <c r="K415" i="22" s="1"/>
  <c r="I414" i="22" a="1"/>
  <c r="I414" i="22" s="1"/>
  <c r="L414" i="22" s="1"/>
  <c r="H414" i="22" a="1"/>
  <c r="H414" i="22" s="1"/>
  <c r="K414" i="22" s="1"/>
  <c r="I413" i="22" a="1"/>
  <c r="I413" i="22" s="1"/>
  <c r="L413" i="22" s="1"/>
  <c r="H413" i="22" a="1"/>
  <c r="H413" i="22" s="1"/>
  <c r="K413" i="22" s="1"/>
  <c r="I412" i="22" a="1"/>
  <c r="I412" i="22" s="1"/>
  <c r="L412" i="22" s="1"/>
  <c r="H412" i="22" a="1"/>
  <c r="H412" i="22" s="1"/>
  <c r="K412" i="22" s="1"/>
  <c r="I411" i="22" a="1"/>
  <c r="I411" i="22" s="1"/>
  <c r="L411" i="22" s="1"/>
  <c r="H411" i="22" a="1"/>
  <c r="H411" i="22" s="1"/>
  <c r="K411" i="22" s="1"/>
  <c r="I410" i="22" a="1"/>
  <c r="I410" i="22" s="1"/>
  <c r="L410" i="22" s="1"/>
  <c r="H410" i="22" a="1"/>
  <c r="H410" i="22" s="1"/>
  <c r="K410" i="22" s="1"/>
  <c r="I409" i="22" a="1"/>
  <c r="I409" i="22" s="1"/>
  <c r="L409" i="22" s="1"/>
  <c r="H409" i="22" a="1"/>
  <c r="H409" i="22" s="1"/>
  <c r="K409" i="22" s="1"/>
  <c r="I408" i="22" a="1"/>
  <c r="I408" i="22" s="1"/>
  <c r="L408" i="22" s="1"/>
  <c r="H408" i="22" a="1"/>
  <c r="H408" i="22" s="1"/>
  <c r="K408" i="22" s="1"/>
  <c r="I407" i="22" a="1"/>
  <c r="I407" i="22" s="1"/>
  <c r="L407" i="22" s="1"/>
  <c r="H407" i="22" a="1"/>
  <c r="H407" i="22" s="1"/>
  <c r="K407" i="22" s="1"/>
  <c r="I406" i="22" a="1"/>
  <c r="I406" i="22" s="1"/>
  <c r="L406" i="22" s="1"/>
  <c r="H406" i="22" a="1"/>
  <c r="H406" i="22" s="1"/>
  <c r="K406" i="22" s="1"/>
  <c r="I405" i="22" a="1"/>
  <c r="I405" i="22" s="1"/>
  <c r="L405" i="22" s="1"/>
  <c r="H405" i="22" a="1"/>
  <c r="H405" i="22" s="1"/>
  <c r="K405" i="22" s="1"/>
  <c r="I404" i="22" a="1"/>
  <c r="I404" i="22" s="1"/>
  <c r="L404" i="22" s="1"/>
  <c r="H404" i="22" a="1"/>
  <c r="H404" i="22" s="1"/>
  <c r="K404" i="22" s="1"/>
  <c r="I403" i="22" a="1"/>
  <c r="I403" i="22" s="1"/>
  <c r="L403" i="22" s="1"/>
  <c r="H403" i="22" a="1"/>
  <c r="H403" i="22" s="1"/>
  <c r="K403" i="22" s="1"/>
  <c r="I402" i="22" a="1"/>
  <c r="I402" i="22" s="1"/>
  <c r="L402" i="22" s="1"/>
  <c r="H402" i="22" a="1"/>
  <c r="H402" i="22" s="1"/>
  <c r="K402" i="22" s="1"/>
  <c r="I401" i="22" a="1"/>
  <c r="I401" i="22" s="1"/>
  <c r="L401" i="22" s="1"/>
  <c r="H401" i="22" a="1"/>
  <c r="H401" i="22" s="1"/>
  <c r="K401" i="22" s="1"/>
  <c r="I400" i="22" a="1"/>
  <c r="I400" i="22" s="1"/>
  <c r="L400" i="22" s="1"/>
  <c r="H400" i="22" a="1"/>
  <c r="H400" i="22" s="1"/>
  <c r="K400" i="22" s="1"/>
  <c r="I399" i="22" a="1"/>
  <c r="I399" i="22" s="1"/>
  <c r="L399" i="22" s="1"/>
  <c r="H399" i="22" a="1"/>
  <c r="H399" i="22" s="1"/>
  <c r="K399" i="22" s="1"/>
  <c r="I398" i="22" a="1"/>
  <c r="I398" i="22" s="1"/>
  <c r="L398" i="22" s="1"/>
  <c r="H398" i="22" a="1"/>
  <c r="H398" i="22" s="1"/>
  <c r="K398" i="22" s="1"/>
  <c r="I397" i="22" a="1"/>
  <c r="I397" i="22" s="1"/>
  <c r="L397" i="22" s="1"/>
  <c r="H397" i="22" a="1"/>
  <c r="H397" i="22" s="1"/>
  <c r="K397" i="22" s="1"/>
  <c r="I396" i="22" a="1"/>
  <c r="I396" i="22" s="1"/>
  <c r="L396" i="22" s="1"/>
  <c r="H396" i="22" a="1"/>
  <c r="H396" i="22" s="1"/>
  <c r="K396" i="22" s="1"/>
  <c r="I395" i="22" a="1"/>
  <c r="I395" i="22" s="1"/>
  <c r="L395" i="22" s="1"/>
  <c r="H395" i="22" a="1"/>
  <c r="H395" i="22" s="1"/>
  <c r="K395" i="22" s="1"/>
  <c r="I394" i="22" a="1"/>
  <c r="I394" i="22" s="1"/>
  <c r="L394" i="22" s="1"/>
  <c r="H394" i="22" a="1"/>
  <c r="H394" i="22" s="1"/>
  <c r="K394" i="22" s="1"/>
  <c r="I393" i="22" a="1"/>
  <c r="I393" i="22" s="1"/>
  <c r="L393" i="22" s="1"/>
  <c r="H393" i="22" a="1"/>
  <c r="H393" i="22" s="1"/>
  <c r="K393" i="22" s="1"/>
  <c r="I392" i="22" a="1"/>
  <c r="I392" i="22" s="1"/>
  <c r="L392" i="22" s="1"/>
  <c r="H392" i="22" a="1"/>
  <c r="H392" i="22" s="1"/>
  <c r="K392" i="22" s="1"/>
  <c r="I391" i="22" a="1"/>
  <c r="I391" i="22" s="1"/>
  <c r="L391" i="22" s="1"/>
  <c r="H391" i="22" a="1"/>
  <c r="H391" i="22" s="1"/>
  <c r="K391" i="22" s="1"/>
  <c r="I390" i="22" a="1"/>
  <c r="I390" i="22" s="1"/>
  <c r="L390" i="22" s="1"/>
  <c r="H390" i="22" a="1"/>
  <c r="H390" i="22" s="1"/>
  <c r="K390" i="22" s="1"/>
  <c r="I389" i="22" a="1"/>
  <c r="I389" i="22" s="1"/>
  <c r="L389" i="22" s="1"/>
  <c r="H389" i="22" a="1"/>
  <c r="H389" i="22" s="1"/>
  <c r="K389" i="22" s="1"/>
  <c r="I388" i="22" a="1"/>
  <c r="I388" i="22" s="1"/>
  <c r="L388" i="22" s="1"/>
  <c r="H388" i="22" a="1"/>
  <c r="H388" i="22" s="1"/>
  <c r="K388" i="22" s="1"/>
  <c r="I387" i="22" a="1"/>
  <c r="I387" i="22" s="1"/>
  <c r="L387" i="22" s="1"/>
  <c r="H387" i="22" a="1"/>
  <c r="H387" i="22" s="1"/>
  <c r="K387" i="22" s="1"/>
  <c r="I386" i="22" a="1"/>
  <c r="I386" i="22" s="1"/>
  <c r="L386" i="22" s="1"/>
  <c r="H386" i="22" a="1"/>
  <c r="H386" i="22" s="1"/>
  <c r="K386" i="22" s="1"/>
  <c r="I385" i="22" a="1"/>
  <c r="I385" i="22" s="1"/>
  <c r="L385" i="22" s="1"/>
  <c r="H385" i="22" a="1"/>
  <c r="H385" i="22" s="1"/>
  <c r="K385" i="22" s="1"/>
  <c r="I384" i="22" a="1"/>
  <c r="I384" i="22" s="1"/>
  <c r="L384" i="22" s="1"/>
  <c r="H384" i="22" a="1"/>
  <c r="H384" i="22" s="1"/>
  <c r="K384" i="22" s="1"/>
  <c r="I383" i="22" a="1"/>
  <c r="I383" i="22" s="1"/>
  <c r="L383" i="22" s="1"/>
  <c r="H383" i="22" a="1"/>
  <c r="H383" i="22" s="1"/>
  <c r="K383" i="22" s="1"/>
  <c r="I382" i="22" a="1"/>
  <c r="I382" i="22" s="1"/>
  <c r="L382" i="22" s="1"/>
  <c r="H382" i="22" a="1"/>
  <c r="H382" i="22" s="1"/>
  <c r="K382" i="22" s="1"/>
  <c r="I381" i="22" a="1"/>
  <c r="I381" i="22" s="1"/>
  <c r="L381" i="22" s="1"/>
  <c r="H381" i="22" a="1"/>
  <c r="H381" i="22" s="1"/>
  <c r="K381" i="22" s="1"/>
  <c r="I380" i="22" a="1"/>
  <c r="I380" i="22" s="1"/>
  <c r="L380" i="22" s="1"/>
  <c r="H380" i="22" a="1"/>
  <c r="H380" i="22" s="1"/>
  <c r="K380" i="22" s="1"/>
  <c r="I379" i="22" a="1"/>
  <c r="I379" i="22" s="1"/>
  <c r="L379" i="22" s="1"/>
  <c r="H379" i="22" a="1"/>
  <c r="H379" i="22" s="1"/>
  <c r="K379" i="22" s="1"/>
  <c r="I378" i="22" a="1"/>
  <c r="I378" i="22" s="1"/>
  <c r="L378" i="22" s="1"/>
  <c r="H378" i="22" a="1"/>
  <c r="H378" i="22" s="1"/>
  <c r="K378" i="22" s="1"/>
  <c r="I377" i="22" a="1"/>
  <c r="I377" i="22" s="1"/>
  <c r="L377" i="22" s="1"/>
  <c r="H377" i="22" a="1"/>
  <c r="H377" i="22" s="1"/>
  <c r="K377" i="22" s="1"/>
  <c r="I376" i="22" a="1"/>
  <c r="I376" i="22" s="1"/>
  <c r="L376" i="22" s="1"/>
  <c r="H376" i="22" a="1"/>
  <c r="H376" i="22" s="1"/>
  <c r="K376" i="22" s="1"/>
  <c r="I375" i="22" a="1"/>
  <c r="I375" i="22" s="1"/>
  <c r="L375" i="22" s="1"/>
  <c r="H375" i="22" a="1"/>
  <c r="H375" i="22" s="1"/>
  <c r="K375" i="22" s="1"/>
  <c r="I374" i="22" a="1"/>
  <c r="I374" i="22" s="1"/>
  <c r="L374" i="22" s="1"/>
  <c r="H374" i="22" a="1"/>
  <c r="H374" i="22" s="1"/>
  <c r="K374" i="22" s="1"/>
  <c r="I373" i="22" a="1"/>
  <c r="I373" i="22" s="1"/>
  <c r="L373" i="22" s="1"/>
  <c r="H373" i="22" a="1"/>
  <c r="H373" i="22" s="1"/>
  <c r="K373" i="22" s="1"/>
  <c r="I372" i="22" a="1"/>
  <c r="I372" i="22" s="1"/>
  <c r="L372" i="22" s="1"/>
  <c r="H372" i="22" a="1"/>
  <c r="H372" i="22" s="1"/>
  <c r="K372" i="22" s="1"/>
  <c r="I371" i="22" a="1"/>
  <c r="I371" i="22" s="1"/>
  <c r="L371" i="22" s="1"/>
  <c r="H371" i="22" a="1"/>
  <c r="H371" i="22" s="1"/>
  <c r="K371" i="22" s="1"/>
  <c r="I370" i="22" a="1"/>
  <c r="I370" i="22" s="1"/>
  <c r="L370" i="22" s="1"/>
  <c r="H370" i="22" a="1"/>
  <c r="H370" i="22" s="1"/>
  <c r="K370" i="22" s="1"/>
  <c r="I369" i="22" a="1"/>
  <c r="I369" i="22" s="1"/>
  <c r="L369" i="22" s="1"/>
  <c r="H369" i="22" a="1"/>
  <c r="H369" i="22" s="1"/>
  <c r="K369" i="22" s="1"/>
  <c r="I368" i="22" a="1"/>
  <c r="I368" i="22" s="1"/>
  <c r="L368" i="22" s="1"/>
  <c r="H368" i="22" a="1"/>
  <c r="H368" i="22" s="1"/>
  <c r="K368" i="22" s="1"/>
  <c r="I367" i="22" a="1"/>
  <c r="I367" i="22" s="1"/>
  <c r="L367" i="22" s="1"/>
  <c r="H367" i="22" a="1"/>
  <c r="H367" i="22" s="1"/>
  <c r="K367" i="22" s="1"/>
  <c r="I366" i="22" a="1"/>
  <c r="I366" i="22" s="1"/>
  <c r="L366" i="22" s="1"/>
  <c r="H366" i="22" a="1"/>
  <c r="H366" i="22" s="1"/>
  <c r="K366" i="22" s="1"/>
  <c r="I365" i="22" a="1"/>
  <c r="I365" i="22" s="1"/>
  <c r="L365" i="22" s="1"/>
  <c r="H365" i="22" a="1"/>
  <c r="H365" i="22" s="1"/>
  <c r="K365" i="22" s="1"/>
  <c r="I364" i="22" a="1"/>
  <c r="I364" i="22" s="1"/>
  <c r="L364" i="22" s="1"/>
  <c r="H364" i="22" a="1"/>
  <c r="H364" i="22" s="1"/>
  <c r="K364" i="22" s="1"/>
  <c r="I363" i="22" a="1"/>
  <c r="I363" i="22" s="1"/>
  <c r="L363" i="22" s="1"/>
  <c r="H363" i="22" a="1"/>
  <c r="H363" i="22" s="1"/>
  <c r="K363" i="22" s="1"/>
  <c r="I362" i="22" a="1"/>
  <c r="I362" i="22" s="1"/>
  <c r="L362" i="22" s="1"/>
  <c r="H362" i="22" a="1"/>
  <c r="H362" i="22" s="1"/>
  <c r="K362" i="22" s="1"/>
  <c r="I361" i="22" a="1"/>
  <c r="I361" i="22" s="1"/>
  <c r="L361" i="22" s="1"/>
  <c r="H361" i="22" a="1"/>
  <c r="H361" i="22" s="1"/>
  <c r="K361" i="22" s="1"/>
  <c r="I360" i="22" a="1"/>
  <c r="I360" i="22" s="1"/>
  <c r="L360" i="22" s="1"/>
  <c r="H360" i="22" a="1"/>
  <c r="H360" i="22" s="1"/>
  <c r="K360" i="22" s="1"/>
  <c r="I359" i="22" a="1"/>
  <c r="I359" i="22" s="1"/>
  <c r="L359" i="22" s="1"/>
  <c r="H359" i="22" a="1"/>
  <c r="H359" i="22" s="1"/>
  <c r="K359" i="22" s="1"/>
  <c r="I358" i="22" a="1"/>
  <c r="I358" i="22" s="1"/>
  <c r="L358" i="22" s="1"/>
  <c r="H358" i="22" a="1"/>
  <c r="H358" i="22" s="1"/>
  <c r="K358" i="22" s="1"/>
  <c r="I357" i="22" a="1"/>
  <c r="I357" i="22" s="1"/>
  <c r="L357" i="22" s="1"/>
  <c r="H357" i="22" a="1"/>
  <c r="H357" i="22" s="1"/>
  <c r="K357" i="22" s="1"/>
  <c r="I356" i="22" a="1"/>
  <c r="I356" i="22" s="1"/>
  <c r="L356" i="22" s="1"/>
  <c r="H356" i="22" a="1"/>
  <c r="H356" i="22" s="1"/>
  <c r="K356" i="22" s="1"/>
  <c r="I355" i="22" a="1"/>
  <c r="I355" i="22" s="1"/>
  <c r="L355" i="22" s="1"/>
  <c r="H355" i="22" a="1"/>
  <c r="H355" i="22" s="1"/>
  <c r="K355" i="22" s="1"/>
  <c r="I354" i="22" a="1"/>
  <c r="I354" i="22" s="1"/>
  <c r="L354" i="22" s="1"/>
  <c r="H354" i="22" a="1"/>
  <c r="H354" i="22" s="1"/>
  <c r="K354" i="22" s="1"/>
  <c r="I353" i="22" a="1"/>
  <c r="I353" i="22" s="1"/>
  <c r="L353" i="22" s="1"/>
  <c r="H353" i="22" a="1"/>
  <c r="H353" i="22" s="1"/>
  <c r="K353" i="22" s="1"/>
  <c r="I352" i="22" a="1"/>
  <c r="I352" i="22" s="1"/>
  <c r="L352" i="22" s="1"/>
  <c r="H352" i="22" a="1"/>
  <c r="H352" i="22" s="1"/>
  <c r="K352" i="22" s="1"/>
  <c r="I351" i="22" a="1"/>
  <c r="I351" i="22" s="1"/>
  <c r="L351" i="22" s="1"/>
  <c r="H351" i="22" a="1"/>
  <c r="H351" i="22" s="1"/>
  <c r="K351" i="22" s="1"/>
  <c r="I350" i="22" a="1"/>
  <c r="I350" i="22" s="1"/>
  <c r="L350" i="22" s="1"/>
  <c r="H350" i="22" a="1"/>
  <c r="H350" i="22" s="1"/>
  <c r="K350" i="22" s="1"/>
  <c r="I349" i="22" a="1"/>
  <c r="I349" i="22" s="1"/>
  <c r="L349" i="22" s="1"/>
  <c r="H349" i="22" a="1"/>
  <c r="H349" i="22" s="1"/>
  <c r="K349" i="22" s="1"/>
  <c r="I348" i="22" a="1"/>
  <c r="I348" i="22" s="1"/>
  <c r="L348" i="22" s="1"/>
  <c r="H348" i="22" a="1"/>
  <c r="H348" i="22" s="1"/>
  <c r="K348" i="22" s="1"/>
  <c r="I347" i="22" a="1"/>
  <c r="I347" i="22" s="1"/>
  <c r="L347" i="22" s="1"/>
  <c r="H347" i="22" a="1"/>
  <c r="H347" i="22" s="1"/>
  <c r="K347" i="22" s="1"/>
  <c r="I346" i="22" a="1"/>
  <c r="I346" i="22" s="1"/>
  <c r="L346" i="22" s="1"/>
  <c r="H346" i="22" a="1"/>
  <c r="H346" i="22" s="1"/>
  <c r="K346" i="22" s="1"/>
  <c r="I345" i="22" a="1"/>
  <c r="I345" i="22" s="1"/>
  <c r="L345" i="22" s="1"/>
  <c r="H345" i="22" a="1"/>
  <c r="H345" i="22" s="1"/>
  <c r="K345" i="22" s="1"/>
  <c r="I344" i="22" a="1"/>
  <c r="I344" i="22" s="1"/>
  <c r="L344" i="22" s="1"/>
  <c r="H344" i="22" a="1"/>
  <c r="H344" i="22" s="1"/>
  <c r="K344" i="22" s="1"/>
  <c r="I343" i="22" a="1"/>
  <c r="I343" i="22" s="1"/>
  <c r="L343" i="22" s="1"/>
  <c r="H343" i="22" a="1"/>
  <c r="H343" i="22" s="1"/>
  <c r="K343" i="22" s="1"/>
  <c r="I342" i="22" a="1"/>
  <c r="I342" i="22" s="1"/>
  <c r="L342" i="22" s="1"/>
  <c r="H342" i="22" a="1"/>
  <c r="H342" i="22" s="1"/>
  <c r="K342" i="22" s="1"/>
  <c r="I341" i="22" a="1"/>
  <c r="I341" i="22" s="1"/>
  <c r="L341" i="22" s="1"/>
  <c r="H341" i="22" a="1"/>
  <c r="H341" i="22" s="1"/>
  <c r="K341" i="22" s="1"/>
  <c r="I340" i="22" a="1"/>
  <c r="I340" i="22" s="1"/>
  <c r="L340" i="22" s="1"/>
  <c r="H340" i="22" a="1"/>
  <c r="H340" i="22" s="1"/>
  <c r="K340" i="22" s="1"/>
  <c r="I339" i="22" a="1"/>
  <c r="I339" i="22" s="1"/>
  <c r="L339" i="22" s="1"/>
  <c r="H339" i="22" a="1"/>
  <c r="H339" i="22" s="1"/>
  <c r="K339" i="22" s="1"/>
  <c r="I338" i="22" a="1"/>
  <c r="I338" i="22" s="1"/>
  <c r="L338" i="22" s="1"/>
  <c r="H338" i="22" a="1"/>
  <c r="H338" i="22" s="1"/>
  <c r="K338" i="22" s="1"/>
  <c r="I337" i="22" a="1"/>
  <c r="I337" i="22" s="1"/>
  <c r="L337" i="22" s="1"/>
  <c r="H337" i="22" a="1"/>
  <c r="H337" i="22" s="1"/>
  <c r="K337" i="22" s="1"/>
  <c r="I336" i="22" a="1"/>
  <c r="I336" i="22" s="1"/>
  <c r="L336" i="22" s="1"/>
  <c r="H336" i="22" a="1"/>
  <c r="H336" i="22" s="1"/>
  <c r="K336" i="22" s="1"/>
  <c r="I335" i="22" a="1"/>
  <c r="I335" i="22" s="1"/>
  <c r="L335" i="22" s="1"/>
  <c r="H335" i="22" a="1"/>
  <c r="H335" i="22" s="1"/>
  <c r="K335" i="22" s="1"/>
  <c r="I334" i="22" a="1"/>
  <c r="I334" i="22" s="1"/>
  <c r="L334" i="22" s="1"/>
  <c r="H334" i="22" a="1"/>
  <c r="H334" i="22" s="1"/>
  <c r="K334" i="22" s="1"/>
  <c r="I333" i="22" a="1"/>
  <c r="I333" i="22" s="1"/>
  <c r="L333" i="22" s="1"/>
  <c r="H333" i="22" a="1"/>
  <c r="H333" i="22" s="1"/>
  <c r="K333" i="22" s="1"/>
  <c r="I332" i="22" a="1"/>
  <c r="I332" i="22" s="1"/>
  <c r="L332" i="22" s="1"/>
  <c r="H332" i="22" a="1"/>
  <c r="H332" i="22" s="1"/>
  <c r="K332" i="22" s="1"/>
  <c r="I331" i="22" a="1"/>
  <c r="I331" i="22" s="1"/>
  <c r="L331" i="22" s="1"/>
  <c r="H331" i="22" a="1"/>
  <c r="H331" i="22" s="1"/>
  <c r="K331" i="22" s="1"/>
  <c r="I330" i="22" a="1"/>
  <c r="I330" i="22" s="1"/>
  <c r="L330" i="22" s="1"/>
  <c r="H330" i="22" a="1"/>
  <c r="H330" i="22" s="1"/>
  <c r="K330" i="22" s="1"/>
  <c r="I329" i="22" a="1"/>
  <c r="I329" i="22" s="1"/>
  <c r="L329" i="22" s="1"/>
  <c r="H329" i="22" a="1"/>
  <c r="H329" i="22" s="1"/>
  <c r="K329" i="22" s="1"/>
  <c r="I328" i="22" a="1"/>
  <c r="I328" i="22" s="1"/>
  <c r="L328" i="22" s="1"/>
  <c r="H328" i="22" a="1"/>
  <c r="H328" i="22" s="1"/>
  <c r="K328" i="22" s="1"/>
  <c r="I327" i="22" a="1"/>
  <c r="I327" i="22" s="1"/>
  <c r="L327" i="22" s="1"/>
  <c r="H327" i="22" a="1"/>
  <c r="H327" i="22" s="1"/>
  <c r="K327" i="22" s="1"/>
  <c r="I326" i="22" a="1"/>
  <c r="I326" i="22" s="1"/>
  <c r="L326" i="22" s="1"/>
  <c r="H326" i="22" a="1"/>
  <c r="H326" i="22" s="1"/>
  <c r="K326" i="22" s="1"/>
  <c r="I325" i="22" a="1"/>
  <c r="I325" i="22" s="1"/>
  <c r="L325" i="22" s="1"/>
  <c r="H325" i="22" a="1"/>
  <c r="H325" i="22" s="1"/>
  <c r="K325" i="22" s="1"/>
  <c r="I324" i="22" a="1"/>
  <c r="I324" i="22" s="1"/>
  <c r="L324" i="22" s="1"/>
  <c r="H324" i="22" a="1"/>
  <c r="H324" i="22" s="1"/>
  <c r="K324" i="22" s="1"/>
  <c r="I323" i="22" a="1"/>
  <c r="I323" i="22" s="1"/>
  <c r="L323" i="22" s="1"/>
  <c r="H323" i="22" a="1"/>
  <c r="H323" i="22" s="1"/>
  <c r="K323" i="22" s="1"/>
  <c r="I322" i="22" a="1"/>
  <c r="I322" i="22" s="1"/>
  <c r="L322" i="22" s="1"/>
  <c r="H322" i="22" a="1"/>
  <c r="H322" i="22" s="1"/>
  <c r="K322" i="22" s="1"/>
  <c r="I321" i="22" a="1"/>
  <c r="I321" i="22" s="1"/>
  <c r="L321" i="22" s="1"/>
  <c r="H321" i="22" a="1"/>
  <c r="H321" i="22" s="1"/>
  <c r="K321" i="22" s="1"/>
  <c r="I320" i="22" a="1"/>
  <c r="I320" i="22" s="1"/>
  <c r="L320" i="22" s="1"/>
  <c r="H320" i="22" a="1"/>
  <c r="H320" i="22" s="1"/>
  <c r="K320" i="22" s="1"/>
  <c r="I319" i="22" a="1"/>
  <c r="I319" i="22" s="1"/>
  <c r="L319" i="22" s="1"/>
  <c r="H319" i="22" a="1"/>
  <c r="H319" i="22" s="1"/>
  <c r="K319" i="22" s="1"/>
  <c r="I318" i="22" a="1"/>
  <c r="I318" i="22" s="1"/>
  <c r="L318" i="22" s="1"/>
  <c r="H318" i="22" a="1"/>
  <c r="H318" i="22" s="1"/>
  <c r="K318" i="22" s="1"/>
  <c r="I317" i="22" a="1"/>
  <c r="I317" i="22" s="1"/>
  <c r="L317" i="22" s="1"/>
  <c r="H317" i="22" a="1"/>
  <c r="H317" i="22" s="1"/>
  <c r="K317" i="22" s="1"/>
  <c r="I316" i="22" a="1"/>
  <c r="I316" i="22" s="1"/>
  <c r="L316" i="22" s="1"/>
  <c r="H316" i="22" a="1"/>
  <c r="H316" i="22" s="1"/>
  <c r="K316" i="22" s="1"/>
  <c r="I315" i="22" a="1"/>
  <c r="I315" i="22" s="1"/>
  <c r="L315" i="22" s="1"/>
  <c r="H315" i="22" a="1"/>
  <c r="H315" i="22" s="1"/>
  <c r="K315" i="22" s="1"/>
  <c r="I314" i="22" a="1"/>
  <c r="I314" i="22" s="1"/>
  <c r="L314" i="22" s="1"/>
  <c r="H314" i="22" a="1"/>
  <c r="H314" i="22" s="1"/>
  <c r="K314" i="22" s="1"/>
  <c r="I313" i="22" a="1"/>
  <c r="I313" i="22" s="1"/>
  <c r="L313" i="22" s="1"/>
  <c r="H313" i="22" a="1"/>
  <c r="H313" i="22" s="1"/>
  <c r="K313" i="22" s="1"/>
  <c r="I312" i="22" a="1"/>
  <c r="I312" i="22" s="1"/>
  <c r="L312" i="22" s="1"/>
  <c r="H312" i="22" a="1"/>
  <c r="H312" i="22" s="1"/>
  <c r="K312" i="22" s="1"/>
  <c r="I311" i="22" a="1"/>
  <c r="I311" i="22" s="1"/>
  <c r="L311" i="22" s="1"/>
  <c r="H311" i="22" a="1"/>
  <c r="H311" i="22" s="1"/>
  <c r="K311" i="22" s="1"/>
  <c r="I310" i="22" a="1"/>
  <c r="I310" i="22" s="1"/>
  <c r="L310" i="22" s="1"/>
  <c r="H310" i="22" a="1"/>
  <c r="H310" i="22" s="1"/>
  <c r="K310" i="22" s="1"/>
  <c r="I309" i="22" a="1"/>
  <c r="I309" i="22" s="1"/>
  <c r="L309" i="22" s="1"/>
  <c r="H309" i="22" a="1"/>
  <c r="H309" i="22" s="1"/>
  <c r="K309" i="22" s="1"/>
  <c r="I308" i="22" a="1"/>
  <c r="I308" i="22" s="1"/>
  <c r="L308" i="22" s="1"/>
  <c r="H308" i="22" a="1"/>
  <c r="H308" i="22" s="1"/>
  <c r="K308" i="22" s="1"/>
  <c r="I307" i="22" a="1"/>
  <c r="I307" i="22" s="1"/>
  <c r="L307" i="22" s="1"/>
  <c r="H307" i="22" a="1"/>
  <c r="H307" i="22" s="1"/>
  <c r="K307" i="22" s="1"/>
  <c r="I306" i="22" a="1"/>
  <c r="I306" i="22" s="1"/>
  <c r="L306" i="22" s="1"/>
  <c r="H306" i="22" a="1"/>
  <c r="H306" i="22" s="1"/>
  <c r="K306" i="22" s="1"/>
  <c r="I305" i="22" a="1"/>
  <c r="I305" i="22" s="1"/>
  <c r="L305" i="22" s="1"/>
  <c r="H305" i="22" a="1"/>
  <c r="H305" i="22" s="1"/>
  <c r="K305" i="22" s="1"/>
  <c r="I304" i="22" a="1"/>
  <c r="I304" i="22" s="1"/>
  <c r="L304" i="22" s="1"/>
  <c r="H304" i="22" a="1"/>
  <c r="H304" i="22" s="1"/>
  <c r="K304" i="22" s="1"/>
  <c r="I303" i="22" a="1"/>
  <c r="I303" i="22" s="1"/>
  <c r="L303" i="22" s="1"/>
  <c r="H303" i="22" a="1"/>
  <c r="H303" i="22" s="1"/>
  <c r="K303" i="22" s="1"/>
  <c r="I302" i="22" a="1"/>
  <c r="I302" i="22" s="1"/>
  <c r="L302" i="22" s="1"/>
  <c r="H302" i="22" a="1"/>
  <c r="H302" i="22" s="1"/>
  <c r="K302" i="22" s="1"/>
  <c r="I301" i="22" a="1"/>
  <c r="I301" i="22" s="1"/>
  <c r="L301" i="22" s="1"/>
  <c r="H301" i="22" a="1"/>
  <c r="H301" i="22" s="1"/>
  <c r="K301" i="22" s="1"/>
  <c r="I300" i="22" a="1"/>
  <c r="I300" i="22" s="1"/>
  <c r="L300" i="22" s="1"/>
  <c r="H300" i="22" a="1"/>
  <c r="H300" i="22" s="1"/>
  <c r="K300" i="22" s="1"/>
  <c r="I299" i="22" a="1"/>
  <c r="I299" i="22" s="1"/>
  <c r="L299" i="22" s="1"/>
  <c r="H299" i="22" a="1"/>
  <c r="H299" i="22" s="1"/>
  <c r="K299" i="22" s="1"/>
  <c r="I298" i="22" a="1"/>
  <c r="I298" i="22" s="1"/>
  <c r="L298" i="22" s="1"/>
  <c r="H298" i="22" a="1"/>
  <c r="H298" i="22" s="1"/>
  <c r="K298" i="22" s="1"/>
  <c r="I297" i="22" a="1"/>
  <c r="I297" i="22" s="1"/>
  <c r="L297" i="22" s="1"/>
  <c r="H297" i="22" a="1"/>
  <c r="H297" i="22" s="1"/>
  <c r="K297" i="22" s="1"/>
  <c r="I296" i="22" a="1"/>
  <c r="I296" i="22" s="1"/>
  <c r="L296" i="22" s="1"/>
  <c r="H296" i="22" a="1"/>
  <c r="H296" i="22" s="1"/>
  <c r="K296" i="22" s="1"/>
  <c r="I295" i="22" a="1"/>
  <c r="I295" i="22" s="1"/>
  <c r="L295" i="22" s="1"/>
  <c r="H295" i="22" a="1"/>
  <c r="H295" i="22" s="1"/>
  <c r="K295" i="22" s="1"/>
  <c r="I294" i="22" a="1"/>
  <c r="I294" i="22" s="1"/>
  <c r="L294" i="22" s="1"/>
  <c r="H294" i="22" a="1"/>
  <c r="H294" i="22" s="1"/>
  <c r="K294" i="22" s="1"/>
  <c r="I293" i="22" a="1"/>
  <c r="I293" i="22" s="1"/>
  <c r="L293" i="22" s="1"/>
  <c r="H293" i="22" a="1"/>
  <c r="H293" i="22" s="1"/>
  <c r="K293" i="22" s="1"/>
  <c r="I292" i="22" a="1"/>
  <c r="I292" i="22" s="1"/>
  <c r="L292" i="22" s="1"/>
  <c r="H292" i="22" a="1"/>
  <c r="H292" i="22" s="1"/>
  <c r="K292" i="22" s="1"/>
  <c r="I291" i="22" a="1"/>
  <c r="I291" i="22" s="1"/>
  <c r="L291" i="22" s="1"/>
  <c r="H291" i="22" a="1"/>
  <c r="H291" i="22" s="1"/>
  <c r="K291" i="22" s="1"/>
  <c r="I290" i="22" a="1"/>
  <c r="I290" i="22" s="1"/>
  <c r="L290" i="22" s="1"/>
  <c r="H290" i="22" a="1"/>
  <c r="H290" i="22" s="1"/>
  <c r="K290" i="22" s="1"/>
  <c r="I289" i="22" a="1"/>
  <c r="I289" i="22" s="1"/>
  <c r="L289" i="22" s="1"/>
  <c r="H289" i="22" a="1"/>
  <c r="H289" i="22" s="1"/>
  <c r="K289" i="22" s="1"/>
  <c r="I288" i="22" a="1"/>
  <c r="I288" i="22" s="1"/>
  <c r="L288" i="22" s="1"/>
  <c r="H288" i="22" a="1"/>
  <c r="H288" i="22" s="1"/>
  <c r="K288" i="22" s="1"/>
  <c r="I287" i="22" a="1"/>
  <c r="I287" i="22" s="1"/>
  <c r="L287" i="22" s="1"/>
  <c r="H287" i="22" a="1"/>
  <c r="H287" i="22" s="1"/>
  <c r="K287" i="22" s="1"/>
  <c r="I286" i="22" a="1"/>
  <c r="I286" i="22" s="1"/>
  <c r="L286" i="22" s="1"/>
  <c r="H286" i="22" a="1"/>
  <c r="H286" i="22" s="1"/>
  <c r="K286" i="22" s="1"/>
  <c r="I285" i="22" a="1"/>
  <c r="I285" i="22" s="1"/>
  <c r="L285" i="22" s="1"/>
  <c r="H285" i="22" a="1"/>
  <c r="H285" i="22" s="1"/>
  <c r="K285" i="22" s="1"/>
  <c r="I284" i="22" a="1"/>
  <c r="I284" i="22" s="1"/>
  <c r="L284" i="22" s="1"/>
  <c r="H284" i="22" a="1"/>
  <c r="H284" i="22" s="1"/>
  <c r="K284" i="22" s="1"/>
  <c r="I283" i="22" a="1"/>
  <c r="I283" i="22" s="1"/>
  <c r="L283" i="22" s="1"/>
  <c r="H283" i="22" a="1"/>
  <c r="H283" i="22" s="1"/>
  <c r="K283" i="22" s="1"/>
  <c r="I282" i="22" a="1"/>
  <c r="I282" i="22" s="1"/>
  <c r="L282" i="22" s="1"/>
  <c r="H282" i="22" a="1"/>
  <c r="H282" i="22" s="1"/>
  <c r="K282" i="22" s="1"/>
  <c r="I281" i="22" a="1"/>
  <c r="I281" i="22" s="1"/>
  <c r="L281" i="22" s="1"/>
  <c r="H281" i="22" a="1"/>
  <c r="H281" i="22" s="1"/>
  <c r="K281" i="22" s="1"/>
  <c r="I280" i="22" a="1"/>
  <c r="I280" i="22" s="1"/>
  <c r="L280" i="22" s="1"/>
  <c r="H280" i="22" a="1"/>
  <c r="H280" i="22" s="1"/>
  <c r="K280" i="22" s="1"/>
  <c r="I279" i="22" a="1"/>
  <c r="I279" i="22" s="1"/>
  <c r="L279" i="22" s="1"/>
  <c r="H279" i="22" a="1"/>
  <c r="H279" i="22" s="1"/>
  <c r="K279" i="22" s="1"/>
  <c r="I278" i="22" a="1"/>
  <c r="I278" i="22" s="1"/>
  <c r="L278" i="22" s="1"/>
  <c r="H278" i="22" a="1"/>
  <c r="H278" i="22" s="1"/>
  <c r="K278" i="22" s="1"/>
  <c r="I277" i="22" a="1"/>
  <c r="I277" i="22" s="1"/>
  <c r="L277" i="22" s="1"/>
  <c r="H277" i="22" a="1"/>
  <c r="H277" i="22" s="1"/>
  <c r="K277" i="22" s="1"/>
  <c r="I276" i="22" a="1"/>
  <c r="I276" i="22" s="1"/>
  <c r="L276" i="22" s="1"/>
  <c r="H276" i="22" a="1"/>
  <c r="H276" i="22" s="1"/>
  <c r="K276" i="22" s="1"/>
  <c r="I275" i="22" a="1"/>
  <c r="I275" i="22" s="1"/>
  <c r="L275" i="22" s="1"/>
  <c r="H275" i="22" a="1"/>
  <c r="H275" i="22" s="1"/>
  <c r="K275" i="22" s="1"/>
  <c r="I274" i="22" a="1"/>
  <c r="I274" i="22" s="1"/>
  <c r="L274" i="22" s="1"/>
  <c r="H274" i="22" a="1"/>
  <c r="H274" i="22" s="1"/>
  <c r="K274" i="22" s="1"/>
  <c r="I273" i="22" a="1"/>
  <c r="I273" i="22" s="1"/>
  <c r="L273" i="22" s="1"/>
  <c r="H273" i="22" a="1"/>
  <c r="H273" i="22" s="1"/>
  <c r="K273" i="22" s="1"/>
  <c r="I272" i="22" a="1"/>
  <c r="I272" i="22" s="1"/>
  <c r="L272" i="22" s="1"/>
  <c r="H272" i="22" a="1"/>
  <c r="H272" i="22" s="1"/>
  <c r="K272" i="22" s="1"/>
  <c r="I271" i="22" a="1"/>
  <c r="I271" i="22" s="1"/>
  <c r="L271" i="22" s="1"/>
  <c r="H271" i="22" a="1"/>
  <c r="H271" i="22" s="1"/>
  <c r="K271" i="22" s="1"/>
  <c r="I270" i="22" a="1"/>
  <c r="I270" i="22" s="1"/>
  <c r="L270" i="22" s="1"/>
  <c r="H270" i="22" a="1"/>
  <c r="H270" i="22" s="1"/>
  <c r="K270" i="22" s="1"/>
  <c r="I269" i="22" a="1"/>
  <c r="I269" i="22" s="1"/>
  <c r="L269" i="22" s="1"/>
  <c r="H269" i="22" a="1"/>
  <c r="H269" i="22" s="1"/>
  <c r="K269" i="22" s="1"/>
  <c r="I268" i="22" a="1"/>
  <c r="I268" i="22" s="1"/>
  <c r="L268" i="22" s="1"/>
  <c r="H268" i="22" a="1"/>
  <c r="H268" i="22" s="1"/>
  <c r="K268" i="22" s="1"/>
  <c r="I267" i="22" a="1"/>
  <c r="I267" i="22" s="1"/>
  <c r="L267" i="22" s="1"/>
  <c r="H267" i="22" a="1"/>
  <c r="H267" i="22" s="1"/>
  <c r="K267" i="22" s="1"/>
  <c r="I266" i="22" a="1"/>
  <c r="I266" i="22" s="1"/>
  <c r="L266" i="22" s="1"/>
  <c r="H266" i="22" a="1"/>
  <c r="H266" i="22" s="1"/>
  <c r="K266" i="22" s="1"/>
  <c r="I265" i="22" a="1"/>
  <c r="I265" i="22" s="1"/>
  <c r="L265" i="22" s="1"/>
  <c r="H265" i="22" a="1"/>
  <c r="H265" i="22" s="1"/>
  <c r="K265" i="22" s="1"/>
  <c r="I264" i="22" a="1"/>
  <c r="I264" i="22" s="1"/>
  <c r="L264" i="22" s="1"/>
  <c r="H264" i="22" a="1"/>
  <c r="H264" i="22" s="1"/>
  <c r="K264" i="22" s="1"/>
  <c r="I263" i="22" a="1"/>
  <c r="I263" i="22" s="1"/>
  <c r="L263" i="22" s="1"/>
  <c r="H263" i="22" a="1"/>
  <c r="H263" i="22" s="1"/>
  <c r="K263" i="22" s="1"/>
  <c r="I262" i="22" a="1"/>
  <c r="I262" i="22" s="1"/>
  <c r="L262" i="22" s="1"/>
  <c r="H262" i="22" a="1"/>
  <c r="H262" i="22" s="1"/>
  <c r="K262" i="22" s="1"/>
  <c r="I261" i="22" a="1"/>
  <c r="I261" i="22" s="1"/>
  <c r="L261" i="22" s="1"/>
  <c r="H261" i="22" a="1"/>
  <c r="H261" i="22" s="1"/>
  <c r="K261" i="22" s="1"/>
  <c r="I260" i="22" a="1"/>
  <c r="I260" i="22" s="1"/>
  <c r="L260" i="22" s="1"/>
  <c r="H260" i="22" a="1"/>
  <c r="H260" i="22" s="1"/>
  <c r="K260" i="22" s="1"/>
  <c r="I259" i="22" a="1"/>
  <c r="I259" i="22" s="1"/>
  <c r="L259" i="22" s="1"/>
  <c r="H259" i="22" a="1"/>
  <c r="H259" i="22" s="1"/>
  <c r="K259" i="22" s="1"/>
  <c r="I258" i="22" a="1"/>
  <c r="I258" i="22" s="1"/>
  <c r="L258" i="22" s="1"/>
  <c r="H258" i="22" a="1"/>
  <c r="H258" i="22" s="1"/>
  <c r="K258" i="22" s="1"/>
  <c r="I257" i="22" a="1"/>
  <c r="I257" i="22" s="1"/>
  <c r="L257" i="22" s="1"/>
  <c r="H257" i="22" a="1"/>
  <c r="H257" i="22" s="1"/>
  <c r="K257" i="22" s="1"/>
  <c r="I256" i="22" a="1"/>
  <c r="I256" i="22" s="1"/>
  <c r="L256" i="22" s="1"/>
  <c r="H256" i="22" a="1"/>
  <c r="H256" i="22" s="1"/>
  <c r="K256" i="22" s="1"/>
  <c r="I255" i="22" a="1"/>
  <c r="I255" i="22" s="1"/>
  <c r="L255" i="22" s="1"/>
  <c r="H255" i="22" a="1"/>
  <c r="H255" i="22" s="1"/>
  <c r="K255" i="22" s="1"/>
  <c r="I254" i="22" a="1"/>
  <c r="I254" i="22" s="1"/>
  <c r="L254" i="22" s="1"/>
  <c r="H254" i="22" a="1"/>
  <c r="H254" i="22" s="1"/>
  <c r="K254" i="22" s="1"/>
  <c r="I253" i="22" a="1"/>
  <c r="I253" i="22" s="1"/>
  <c r="L253" i="22" s="1"/>
  <c r="H253" i="22" a="1"/>
  <c r="H253" i="22" s="1"/>
  <c r="K253" i="22" s="1"/>
  <c r="I252" i="22" a="1"/>
  <c r="I252" i="22" s="1"/>
  <c r="L252" i="22" s="1"/>
  <c r="H252" i="22" a="1"/>
  <c r="H252" i="22" s="1"/>
  <c r="K252" i="22" s="1"/>
  <c r="I251" i="22" a="1"/>
  <c r="I251" i="22" s="1"/>
  <c r="L251" i="22" s="1"/>
  <c r="H251" i="22" a="1"/>
  <c r="H251" i="22" s="1"/>
  <c r="K251" i="22" s="1"/>
  <c r="I250" i="22" a="1"/>
  <c r="I250" i="22" s="1"/>
  <c r="L250" i="22" s="1"/>
  <c r="H250" i="22" a="1"/>
  <c r="H250" i="22" s="1"/>
  <c r="K250" i="22" s="1"/>
  <c r="I249" i="22" a="1"/>
  <c r="I249" i="22" s="1"/>
  <c r="L249" i="22" s="1"/>
  <c r="H249" i="22" a="1"/>
  <c r="H249" i="22" s="1"/>
  <c r="K249" i="22" s="1"/>
  <c r="I248" i="22" a="1"/>
  <c r="I248" i="22" s="1"/>
  <c r="L248" i="22" s="1"/>
  <c r="H248" i="22" a="1"/>
  <c r="H248" i="22" s="1"/>
  <c r="K248" i="22" s="1"/>
  <c r="I247" i="22" a="1"/>
  <c r="I247" i="22" s="1"/>
  <c r="L247" i="22" s="1"/>
  <c r="H247" i="22" a="1"/>
  <c r="H247" i="22" s="1"/>
  <c r="K247" i="22" s="1"/>
  <c r="I246" i="22" a="1"/>
  <c r="I246" i="22" s="1"/>
  <c r="L246" i="22" s="1"/>
  <c r="H246" i="22" a="1"/>
  <c r="H246" i="22" s="1"/>
  <c r="K246" i="22" s="1"/>
  <c r="I245" i="22" a="1"/>
  <c r="I245" i="22" s="1"/>
  <c r="L245" i="22" s="1"/>
  <c r="H245" i="22" a="1"/>
  <c r="H245" i="22" s="1"/>
  <c r="K245" i="22" s="1"/>
  <c r="I244" i="22" a="1"/>
  <c r="I244" i="22" s="1"/>
  <c r="L244" i="22" s="1"/>
  <c r="H244" i="22" a="1"/>
  <c r="H244" i="22" s="1"/>
  <c r="K244" i="22" s="1"/>
  <c r="I243" i="22" a="1"/>
  <c r="I243" i="22" s="1"/>
  <c r="L243" i="22" s="1"/>
  <c r="H243" i="22" a="1"/>
  <c r="H243" i="22" s="1"/>
  <c r="K243" i="22" s="1"/>
  <c r="I242" i="22" a="1"/>
  <c r="I242" i="22" s="1"/>
  <c r="L242" i="22" s="1"/>
  <c r="H242" i="22" a="1"/>
  <c r="H242" i="22" s="1"/>
  <c r="K242" i="22" s="1"/>
  <c r="I241" i="22" a="1"/>
  <c r="I241" i="22" s="1"/>
  <c r="L241" i="22" s="1"/>
  <c r="H241" i="22" a="1"/>
  <c r="H241" i="22" s="1"/>
  <c r="K241" i="22" s="1"/>
  <c r="I240" i="22" a="1"/>
  <c r="I240" i="22" s="1"/>
  <c r="L240" i="22" s="1"/>
  <c r="H240" i="22" a="1"/>
  <c r="H240" i="22" s="1"/>
  <c r="K240" i="22" s="1"/>
  <c r="I239" i="22" a="1"/>
  <c r="I239" i="22" s="1"/>
  <c r="L239" i="22" s="1"/>
  <c r="H239" i="22" a="1"/>
  <c r="H239" i="22" s="1"/>
  <c r="K239" i="22" s="1"/>
  <c r="I238" i="22" a="1"/>
  <c r="I238" i="22" s="1"/>
  <c r="L238" i="22" s="1"/>
  <c r="H238" i="22" a="1"/>
  <c r="H238" i="22" s="1"/>
  <c r="K238" i="22" s="1"/>
  <c r="I237" i="22" a="1"/>
  <c r="I237" i="22" s="1"/>
  <c r="L237" i="22" s="1"/>
  <c r="H237" i="22" a="1"/>
  <c r="H237" i="22" s="1"/>
  <c r="K237" i="22" s="1"/>
  <c r="I236" i="22" a="1"/>
  <c r="I236" i="22" s="1"/>
  <c r="L236" i="22" s="1"/>
  <c r="H236" i="22" a="1"/>
  <c r="H236" i="22" s="1"/>
  <c r="K236" i="22" s="1"/>
  <c r="I235" i="22" a="1"/>
  <c r="I235" i="22" s="1"/>
  <c r="L235" i="22" s="1"/>
  <c r="H235" i="22" a="1"/>
  <c r="H235" i="22" s="1"/>
  <c r="K235" i="22" s="1"/>
  <c r="I234" i="22" a="1"/>
  <c r="I234" i="22" s="1"/>
  <c r="L234" i="22" s="1"/>
  <c r="H234" i="22" a="1"/>
  <c r="H234" i="22" s="1"/>
  <c r="K234" i="22" s="1"/>
  <c r="I233" i="22" a="1"/>
  <c r="I233" i="22" s="1"/>
  <c r="L233" i="22" s="1"/>
  <c r="H233" i="22" a="1"/>
  <c r="H233" i="22" s="1"/>
  <c r="K233" i="22" s="1"/>
  <c r="I232" i="22" a="1"/>
  <c r="I232" i="22" s="1"/>
  <c r="L232" i="22" s="1"/>
  <c r="H232" i="22" a="1"/>
  <c r="H232" i="22" s="1"/>
  <c r="K232" i="22" s="1"/>
  <c r="I231" i="22" a="1"/>
  <c r="I231" i="22" s="1"/>
  <c r="L231" i="22" s="1"/>
  <c r="H231" i="22" a="1"/>
  <c r="H231" i="22" s="1"/>
  <c r="K231" i="22" s="1"/>
  <c r="I230" i="22" a="1"/>
  <c r="I230" i="22" s="1"/>
  <c r="L230" i="22" s="1"/>
  <c r="H230" i="22" a="1"/>
  <c r="H230" i="22" s="1"/>
  <c r="K230" i="22" s="1"/>
  <c r="I229" i="22" a="1"/>
  <c r="I229" i="22" s="1"/>
  <c r="L229" i="22" s="1"/>
  <c r="H229" i="22" a="1"/>
  <c r="H229" i="22" s="1"/>
  <c r="K229" i="22" s="1"/>
  <c r="I228" i="22" a="1"/>
  <c r="I228" i="22" s="1"/>
  <c r="L228" i="22" s="1"/>
  <c r="H228" i="22" a="1"/>
  <c r="H228" i="22" s="1"/>
  <c r="K228" i="22" s="1"/>
  <c r="I227" i="22" a="1"/>
  <c r="I227" i="22" s="1"/>
  <c r="L227" i="22" s="1"/>
  <c r="H227" i="22" a="1"/>
  <c r="H227" i="22" s="1"/>
  <c r="K227" i="22" s="1"/>
  <c r="I226" i="22" a="1"/>
  <c r="I226" i="22" s="1"/>
  <c r="L226" i="22" s="1"/>
  <c r="H226" i="22" a="1"/>
  <c r="H226" i="22" s="1"/>
  <c r="K226" i="22" s="1"/>
  <c r="I225" i="22" a="1"/>
  <c r="I225" i="22" s="1"/>
  <c r="L225" i="22" s="1"/>
  <c r="H225" i="22" a="1"/>
  <c r="H225" i="22" s="1"/>
  <c r="K225" i="22" s="1"/>
  <c r="I224" i="22" a="1"/>
  <c r="I224" i="22" s="1"/>
  <c r="L224" i="22" s="1"/>
  <c r="H224" i="22" a="1"/>
  <c r="H224" i="22" s="1"/>
  <c r="K224" i="22" s="1"/>
  <c r="I223" i="22" a="1"/>
  <c r="I223" i="22" s="1"/>
  <c r="L223" i="22" s="1"/>
  <c r="H223" i="22" a="1"/>
  <c r="H223" i="22" s="1"/>
  <c r="K223" i="22" s="1"/>
  <c r="I222" i="22" a="1"/>
  <c r="I222" i="22" s="1"/>
  <c r="L222" i="22" s="1"/>
  <c r="H222" i="22" a="1"/>
  <c r="H222" i="22" s="1"/>
  <c r="K222" i="22" s="1"/>
  <c r="I221" i="22" a="1"/>
  <c r="I221" i="22" s="1"/>
  <c r="L221" i="22" s="1"/>
  <c r="H221" i="22" a="1"/>
  <c r="H221" i="22" s="1"/>
  <c r="K221" i="22" s="1"/>
  <c r="I220" i="22" a="1"/>
  <c r="I220" i="22" s="1"/>
  <c r="L220" i="22" s="1"/>
  <c r="H220" i="22" a="1"/>
  <c r="H220" i="22" s="1"/>
  <c r="K220" i="22" s="1"/>
  <c r="I219" i="22" a="1"/>
  <c r="I219" i="22" s="1"/>
  <c r="L219" i="22" s="1"/>
  <c r="H219" i="22" a="1"/>
  <c r="H219" i="22" s="1"/>
  <c r="K219" i="22" s="1"/>
  <c r="I218" i="22" a="1"/>
  <c r="I218" i="22" s="1"/>
  <c r="L218" i="22" s="1"/>
  <c r="H218" i="22" a="1"/>
  <c r="H218" i="22" s="1"/>
  <c r="K218" i="22" s="1"/>
  <c r="I217" i="22" a="1"/>
  <c r="I217" i="22" s="1"/>
  <c r="L217" i="22" s="1"/>
  <c r="H217" i="22" a="1"/>
  <c r="H217" i="22" s="1"/>
  <c r="K217" i="22" s="1"/>
  <c r="I216" i="22" a="1"/>
  <c r="I216" i="22" s="1"/>
  <c r="L216" i="22" s="1"/>
  <c r="H216" i="22" a="1"/>
  <c r="H216" i="22" s="1"/>
  <c r="K216" i="22" s="1"/>
  <c r="I215" i="22" a="1"/>
  <c r="I215" i="22" s="1"/>
  <c r="L215" i="22" s="1"/>
  <c r="H215" i="22" a="1"/>
  <c r="H215" i="22" s="1"/>
  <c r="K215" i="22" s="1"/>
  <c r="I214" i="22" a="1"/>
  <c r="I214" i="22" s="1"/>
  <c r="L214" i="22" s="1"/>
  <c r="H214" i="22" a="1"/>
  <c r="H214" i="22" s="1"/>
  <c r="K214" i="22" s="1"/>
  <c r="I213" i="22" a="1"/>
  <c r="I213" i="22" s="1"/>
  <c r="L213" i="22" s="1"/>
  <c r="H213" i="22" a="1"/>
  <c r="H213" i="22" s="1"/>
  <c r="K213" i="22" s="1"/>
  <c r="I212" i="22" a="1"/>
  <c r="I212" i="22" s="1"/>
  <c r="L212" i="22" s="1"/>
  <c r="H212" i="22" a="1"/>
  <c r="H212" i="22" s="1"/>
  <c r="K212" i="22" s="1"/>
  <c r="I211" i="22" a="1"/>
  <c r="I211" i="22" s="1"/>
  <c r="L211" i="22" s="1"/>
  <c r="H211" i="22" a="1"/>
  <c r="H211" i="22" s="1"/>
  <c r="K211" i="22" s="1"/>
  <c r="I210" i="22" a="1"/>
  <c r="I210" i="22" s="1"/>
  <c r="L210" i="22" s="1"/>
  <c r="H210" i="22" a="1"/>
  <c r="H210" i="22" s="1"/>
  <c r="K210" i="22" s="1"/>
  <c r="I209" i="22" a="1"/>
  <c r="I209" i="22" s="1"/>
  <c r="L209" i="22" s="1"/>
  <c r="H209" i="22" a="1"/>
  <c r="H209" i="22" s="1"/>
  <c r="K209" i="22" s="1"/>
  <c r="I208" i="22" a="1"/>
  <c r="I208" i="22" s="1"/>
  <c r="L208" i="22" s="1"/>
  <c r="H208" i="22" a="1"/>
  <c r="H208" i="22" s="1"/>
  <c r="K208" i="22" s="1"/>
  <c r="I207" i="22" a="1"/>
  <c r="I207" i="22" s="1"/>
  <c r="L207" i="22" s="1"/>
  <c r="H207" i="22" a="1"/>
  <c r="H207" i="22" s="1"/>
  <c r="K207" i="22" s="1"/>
  <c r="I206" i="22" a="1"/>
  <c r="I206" i="22" s="1"/>
  <c r="L206" i="22" s="1"/>
  <c r="H206" i="22" a="1"/>
  <c r="H206" i="22" s="1"/>
  <c r="K206" i="22" s="1"/>
  <c r="I205" i="22" a="1"/>
  <c r="I205" i="22" s="1"/>
  <c r="L205" i="22" s="1"/>
  <c r="H205" i="22" a="1"/>
  <c r="H205" i="22" s="1"/>
  <c r="K205" i="22" s="1"/>
  <c r="I204" i="22" a="1"/>
  <c r="I204" i="22" s="1"/>
  <c r="L204" i="22" s="1"/>
  <c r="H204" i="22" a="1"/>
  <c r="H204" i="22" s="1"/>
  <c r="K204" i="22" s="1"/>
  <c r="I203" i="22" a="1"/>
  <c r="I203" i="22" s="1"/>
  <c r="L203" i="22" s="1"/>
  <c r="H203" i="22" a="1"/>
  <c r="H203" i="22" s="1"/>
  <c r="K203" i="22" s="1"/>
  <c r="I202" i="22" a="1"/>
  <c r="I202" i="22" s="1"/>
  <c r="L202" i="22" s="1"/>
  <c r="H202" i="22" a="1"/>
  <c r="H202" i="22" s="1"/>
  <c r="K202" i="22" s="1"/>
  <c r="I201" i="22" a="1"/>
  <c r="I201" i="22" s="1"/>
  <c r="L201" i="22" s="1"/>
  <c r="H201" i="22" a="1"/>
  <c r="H201" i="22" s="1"/>
  <c r="K201" i="22" s="1"/>
  <c r="I200" i="22" a="1"/>
  <c r="I200" i="22" s="1"/>
  <c r="L200" i="22" s="1"/>
  <c r="H200" i="22" a="1"/>
  <c r="H200" i="22" s="1"/>
  <c r="K200" i="22" s="1"/>
  <c r="I199" i="22" a="1"/>
  <c r="I199" i="22" s="1"/>
  <c r="L199" i="22" s="1"/>
  <c r="H199" i="22" a="1"/>
  <c r="H199" i="22" s="1"/>
  <c r="K199" i="22" s="1"/>
  <c r="I198" i="22" a="1"/>
  <c r="I198" i="22" s="1"/>
  <c r="L198" i="22" s="1"/>
  <c r="H198" i="22" a="1"/>
  <c r="H198" i="22" s="1"/>
  <c r="K198" i="22" s="1"/>
  <c r="I197" i="22" a="1"/>
  <c r="I197" i="22" s="1"/>
  <c r="L197" i="22" s="1"/>
  <c r="H197" i="22" a="1"/>
  <c r="H197" i="22" s="1"/>
  <c r="K197" i="22" s="1"/>
  <c r="I196" i="22" a="1"/>
  <c r="I196" i="22" s="1"/>
  <c r="L196" i="22" s="1"/>
  <c r="H196" i="22" a="1"/>
  <c r="H196" i="22" s="1"/>
  <c r="K196" i="22" s="1"/>
  <c r="I195" i="22" a="1"/>
  <c r="I195" i="22" s="1"/>
  <c r="L195" i="22" s="1"/>
  <c r="H195" i="22" a="1"/>
  <c r="H195" i="22" s="1"/>
  <c r="K195" i="22" s="1"/>
  <c r="I194" i="22" a="1"/>
  <c r="I194" i="22" s="1"/>
  <c r="L194" i="22" s="1"/>
  <c r="H194" i="22" a="1"/>
  <c r="H194" i="22" s="1"/>
  <c r="K194" i="22" s="1"/>
  <c r="I193" i="22" a="1"/>
  <c r="I193" i="22" s="1"/>
  <c r="L193" i="22" s="1"/>
  <c r="H193" i="22" a="1"/>
  <c r="H193" i="22" s="1"/>
  <c r="K193" i="22" s="1"/>
  <c r="I192" i="22" a="1"/>
  <c r="I192" i="22" s="1"/>
  <c r="L192" i="22" s="1"/>
  <c r="H192" i="22" a="1"/>
  <c r="H192" i="22" s="1"/>
  <c r="K192" i="22" s="1"/>
  <c r="I191" i="22" a="1"/>
  <c r="I191" i="22" s="1"/>
  <c r="L191" i="22" s="1"/>
  <c r="H191" i="22" a="1"/>
  <c r="H191" i="22" s="1"/>
  <c r="K191" i="22" s="1"/>
  <c r="I190" i="22" a="1"/>
  <c r="I190" i="22" s="1"/>
  <c r="L190" i="22" s="1"/>
  <c r="H190" i="22" a="1"/>
  <c r="H190" i="22" s="1"/>
  <c r="K190" i="22" s="1"/>
  <c r="I189" i="22" a="1"/>
  <c r="I189" i="22" s="1"/>
  <c r="L189" i="22" s="1"/>
  <c r="H189" i="22" a="1"/>
  <c r="H189" i="22" s="1"/>
  <c r="K189" i="22" s="1"/>
  <c r="I188" i="22" a="1"/>
  <c r="I188" i="22" s="1"/>
  <c r="L188" i="22" s="1"/>
  <c r="H188" i="22" a="1"/>
  <c r="H188" i="22" s="1"/>
  <c r="K188" i="22" s="1"/>
  <c r="I187" i="22" a="1"/>
  <c r="I187" i="22" s="1"/>
  <c r="L187" i="22" s="1"/>
  <c r="H187" i="22" a="1"/>
  <c r="H187" i="22" s="1"/>
  <c r="K187" i="22" s="1"/>
  <c r="I186" i="22" a="1"/>
  <c r="I186" i="22" s="1"/>
  <c r="L186" i="22" s="1"/>
  <c r="H186" i="22" a="1"/>
  <c r="H186" i="22" s="1"/>
  <c r="K186" i="22" s="1"/>
  <c r="I185" i="22" a="1"/>
  <c r="I185" i="22" s="1"/>
  <c r="L185" i="22" s="1"/>
  <c r="H185" i="22" a="1"/>
  <c r="H185" i="22" s="1"/>
  <c r="K185" i="22" s="1"/>
  <c r="I184" i="22" a="1"/>
  <c r="I184" i="22" s="1"/>
  <c r="L184" i="22" s="1"/>
  <c r="H184" i="22" a="1"/>
  <c r="H184" i="22" s="1"/>
  <c r="K184" i="22" s="1"/>
  <c r="I183" i="22" a="1"/>
  <c r="I183" i="22" s="1"/>
  <c r="L183" i="22" s="1"/>
  <c r="H183" i="22" a="1"/>
  <c r="H183" i="22" s="1"/>
  <c r="K183" i="22" s="1"/>
  <c r="I182" i="22" a="1"/>
  <c r="I182" i="22" s="1"/>
  <c r="L182" i="22" s="1"/>
  <c r="H182" i="22" a="1"/>
  <c r="H182" i="22" s="1"/>
  <c r="K182" i="22" s="1"/>
  <c r="I181" i="22" a="1"/>
  <c r="I181" i="22" s="1"/>
  <c r="L181" i="22" s="1"/>
  <c r="H181" i="22" a="1"/>
  <c r="H181" i="22" s="1"/>
  <c r="K181" i="22" s="1"/>
  <c r="I180" i="22" a="1"/>
  <c r="I180" i="22" s="1"/>
  <c r="L180" i="22" s="1"/>
  <c r="H180" i="22" a="1"/>
  <c r="H180" i="22" s="1"/>
  <c r="K180" i="22" s="1"/>
  <c r="I179" i="22" a="1"/>
  <c r="I179" i="22" s="1"/>
  <c r="L179" i="22" s="1"/>
  <c r="H179" i="22" a="1"/>
  <c r="H179" i="22" s="1"/>
  <c r="K179" i="22" s="1"/>
  <c r="I178" i="22" a="1"/>
  <c r="I178" i="22" s="1"/>
  <c r="L178" i="22" s="1"/>
  <c r="H178" i="22" a="1"/>
  <c r="H178" i="22" s="1"/>
  <c r="K178" i="22" s="1"/>
  <c r="I177" i="22" a="1"/>
  <c r="I177" i="22" s="1"/>
  <c r="L177" i="22" s="1"/>
  <c r="H177" i="22" a="1"/>
  <c r="H177" i="22" s="1"/>
  <c r="K177" i="22" s="1"/>
  <c r="I176" i="22" a="1"/>
  <c r="I176" i="22" s="1"/>
  <c r="L176" i="22" s="1"/>
  <c r="H176" i="22" a="1"/>
  <c r="H176" i="22" s="1"/>
  <c r="K176" i="22" s="1"/>
  <c r="I175" i="22" a="1"/>
  <c r="I175" i="22" s="1"/>
  <c r="L175" i="22" s="1"/>
  <c r="H175" i="22" a="1"/>
  <c r="H175" i="22" s="1"/>
  <c r="K175" i="22" s="1"/>
  <c r="I174" i="22" a="1"/>
  <c r="I174" i="22" s="1"/>
  <c r="L174" i="22" s="1"/>
  <c r="H174" i="22" a="1"/>
  <c r="H174" i="22" s="1"/>
  <c r="K174" i="22" s="1"/>
  <c r="I173" i="22" a="1"/>
  <c r="I173" i="22" s="1"/>
  <c r="L173" i="22" s="1"/>
  <c r="H173" i="22" a="1"/>
  <c r="H173" i="22" s="1"/>
  <c r="K173" i="22" s="1"/>
  <c r="I172" i="22" a="1"/>
  <c r="I172" i="22" s="1"/>
  <c r="L172" i="22" s="1"/>
  <c r="H172" i="22" a="1"/>
  <c r="H172" i="22" s="1"/>
  <c r="K172" i="22" s="1"/>
  <c r="I171" i="22" a="1"/>
  <c r="I171" i="22" s="1"/>
  <c r="L171" i="22" s="1"/>
  <c r="H171" i="22" a="1"/>
  <c r="H171" i="22" s="1"/>
  <c r="K171" i="22" s="1"/>
  <c r="I170" i="22" a="1"/>
  <c r="I170" i="22" s="1"/>
  <c r="L170" i="22" s="1"/>
  <c r="H170" i="22" a="1"/>
  <c r="H170" i="22" s="1"/>
  <c r="K170" i="22" s="1"/>
  <c r="I169" i="22" a="1"/>
  <c r="I169" i="22" s="1"/>
  <c r="L169" i="22" s="1"/>
  <c r="H169" i="22" a="1"/>
  <c r="H169" i="22" s="1"/>
  <c r="K169" i="22" s="1"/>
  <c r="I168" i="22" a="1"/>
  <c r="I168" i="22" s="1"/>
  <c r="L168" i="22" s="1"/>
  <c r="H168" i="22" a="1"/>
  <c r="H168" i="22" s="1"/>
  <c r="K168" i="22" s="1"/>
  <c r="I167" i="22" a="1"/>
  <c r="I167" i="22" s="1"/>
  <c r="L167" i="22" s="1"/>
  <c r="H167" i="22" a="1"/>
  <c r="H167" i="22" s="1"/>
  <c r="K167" i="22" s="1"/>
  <c r="I166" i="22" a="1"/>
  <c r="I166" i="22" s="1"/>
  <c r="L166" i="22" s="1"/>
  <c r="H166" i="22" a="1"/>
  <c r="H166" i="22" s="1"/>
  <c r="K166" i="22" s="1"/>
  <c r="I165" i="22" a="1"/>
  <c r="I165" i="22" s="1"/>
  <c r="L165" i="22" s="1"/>
  <c r="H165" i="22" a="1"/>
  <c r="H165" i="22" s="1"/>
  <c r="K165" i="22" s="1"/>
  <c r="I164" i="22" a="1"/>
  <c r="I164" i="22" s="1"/>
  <c r="L164" i="22" s="1"/>
  <c r="H164" i="22" a="1"/>
  <c r="H164" i="22" s="1"/>
  <c r="K164" i="22" s="1"/>
  <c r="I163" i="22" a="1"/>
  <c r="I163" i="22" s="1"/>
  <c r="L163" i="22" s="1"/>
  <c r="H163" i="22" a="1"/>
  <c r="H163" i="22" s="1"/>
  <c r="K163" i="22" s="1"/>
  <c r="I162" i="22" a="1"/>
  <c r="I162" i="22" s="1"/>
  <c r="L162" i="22" s="1"/>
  <c r="H162" i="22" a="1"/>
  <c r="H162" i="22" s="1"/>
  <c r="K162" i="22" s="1"/>
  <c r="I161" i="22" a="1"/>
  <c r="I161" i="22" s="1"/>
  <c r="L161" i="22" s="1"/>
  <c r="H161" i="22" a="1"/>
  <c r="H161" i="22" s="1"/>
  <c r="K161" i="22" s="1"/>
  <c r="I160" i="22" a="1"/>
  <c r="I160" i="22" s="1"/>
  <c r="L160" i="22" s="1"/>
  <c r="H160" i="22" a="1"/>
  <c r="H160" i="22" s="1"/>
  <c r="K160" i="22" s="1"/>
  <c r="I159" i="22" a="1"/>
  <c r="I159" i="22" s="1"/>
  <c r="L159" i="22" s="1"/>
  <c r="H159" i="22" a="1"/>
  <c r="H159" i="22" s="1"/>
  <c r="K159" i="22" s="1"/>
  <c r="I158" i="22" a="1"/>
  <c r="I158" i="22" s="1"/>
  <c r="L158" i="22" s="1"/>
  <c r="H158" i="22" a="1"/>
  <c r="H158" i="22" s="1"/>
  <c r="K158" i="22" s="1"/>
  <c r="I157" i="22" a="1"/>
  <c r="I157" i="22" s="1"/>
  <c r="L157" i="22" s="1"/>
  <c r="H157" i="22" a="1"/>
  <c r="H157" i="22" s="1"/>
  <c r="K157" i="22" s="1"/>
  <c r="I156" i="22" a="1"/>
  <c r="I156" i="22" s="1"/>
  <c r="L156" i="22" s="1"/>
  <c r="H156" i="22" a="1"/>
  <c r="H156" i="22" s="1"/>
  <c r="K156" i="22" s="1"/>
  <c r="I155" i="22" a="1"/>
  <c r="I155" i="22" s="1"/>
  <c r="L155" i="22" s="1"/>
  <c r="H155" i="22" a="1"/>
  <c r="H155" i="22" s="1"/>
  <c r="K155" i="22" s="1"/>
  <c r="I154" i="22" a="1"/>
  <c r="I154" i="22" s="1"/>
  <c r="L154" i="22" s="1"/>
  <c r="H154" i="22" a="1"/>
  <c r="H154" i="22" s="1"/>
  <c r="K154" i="22" s="1"/>
  <c r="I153" i="22" a="1"/>
  <c r="I153" i="22" s="1"/>
  <c r="L153" i="22" s="1"/>
  <c r="H153" i="22" a="1"/>
  <c r="H153" i="22" s="1"/>
  <c r="K153" i="22" s="1"/>
  <c r="I152" i="22" a="1"/>
  <c r="I152" i="22" s="1"/>
  <c r="L152" i="22" s="1"/>
  <c r="H152" i="22" a="1"/>
  <c r="H152" i="22" s="1"/>
  <c r="K152" i="22" s="1"/>
  <c r="I151" i="22" a="1"/>
  <c r="I151" i="22" s="1"/>
  <c r="L151" i="22" s="1"/>
  <c r="H151" i="22" a="1"/>
  <c r="H151" i="22" s="1"/>
  <c r="K151" i="22" s="1"/>
  <c r="I150" i="22" a="1"/>
  <c r="I150" i="22" s="1"/>
  <c r="L150" i="22" s="1"/>
  <c r="H150" i="22" a="1"/>
  <c r="H150" i="22" s="1"/>
  <c r="K150" i="22" s="1"/>
  <c r="I149" i="22" a="1"/>
  <c r="I149" i="22" s="1"/>
  <c r="L149" i="22" s="1"/>
  <c r="H149" i="22" a="1"/>
  <c r="H149" i="22" s="1"/>
  <c r="K149" i="22" s="1"/>
  <c r="I148" i="22" a="1"/>
  <c r="I148" i="22" s="1"/>
  <c r="L148" i="22" s="1"/>
  <c r="H148" i="22" a="1"/>
  <c r="H148" i="22" s="1"/>
  <c r="K148" i="22" s="1"/>
  <c r="I147" i="22" a="1"/>
  <c r="I147" i="22" s="1"/>
  <c r="L147" i="22" s="1"/>
  <c r="H147" i="22" a="1"/>
  <c r="H147" i="22" s="1"/>
  <c r="K147" i="22" s="1"/>
  <c r="I146" i="22" a="1"/>
  <c r="I146" i="22" s="1"/>
  <c r="L146" i="22" s="1"/>
  <c r="H146" i="22" a="1"/>
  <c r="H146" i="22" s="1"/>
  <c r="K146" i="22" s="1"/>
  <c r="I145" i="22" a="1"/>
  <c r="I145" i="22" s="1"/>
  <c r="L145" i="22" s="1"/>
  <c r="H145" i="22" a="1"/>
  <c r="H145" i="22" s="1"/>
  <c r="K145" i="22" s="1"/>
  <c r="I144" i="22" a="1"/>
  <c r="I144" i="22" s="1"/>
  <c r="L144" i="22" s="1"/>
  <c r="H144" i="22" a="1"/>
  <c r="H144" i="22" s="1"/>
  <c r="K144" i="22" s="1"/>
  <c r="I143" i="22" a="1"/>
  <c r="I143" i="22" s="1"/>
  <c r="L143" i="22" s="1"/>
  <c r="H143" i="22" a="1"/>
  <c r="H143" i="22" s="1"/>
  <c r="K143" i="22" s="1"/>
  <c r="I142" i="22" a="1"/>
  <c r="I142" i="22" s="1"/>
  <c r="L142" i="22" s="1"/>
  <c r="H142" i="22" a="1"/>
  <c r="H142" i="22" s="1"/>
  <c r="K142" i="22" s="1"/>
  <c r="I141" i="22" a="1"/>
  <c r="I141" i="22" s="1"/>
  <c r="L141" i="22" s="1"/>
  <c r="H141" i="22" a="1"/>
  <c r="H141" i="22" s="1"/>
  <c r="K141" i="22" s="1"/>
  <c r="I140" i="22" a="1"/>
  <c r="I140" i="22" s="1"/>
  <c r="L140" i="22" s="1"/>
  <c r="H140" i="22" a="1"/>
  <c r="H140" i="22" s="1"/>
  <c r="K140" i="22" s="1"/>
  <c r="I139" i="22" a="1"/>
  <c r="I139" i="22" s="1"/>
  <c r="L139" i="22" s="1"/>
  <c r="H139" i="22" a="1"/>
  <c r="H139" i="22" s="1"/>
  <c r="K139" i="22" s="1"/>
  <c r="I138" i="22" a="1"/>
  <c r="I138" i="22" s="1"/>
  <c r="L138" i="22" s="1"/>
  <c r="H138" i="22" a="1"/>
  <c r="H138" i="22" s="1"/>
  <c r="K138" i="22" s="1"/>
  <c r="I137" i="22" a="1"/>
  <c r="I137" i="22" s="1"/>
  <c r="L137" i="22" s="1"/>
  <c r="H137" i="22" a="1"/>
  <c r="H137" i="22" s="1"/>
  <c r="K137" i="22" s="1"/>
  <c r="I136" i="22" a="1"/>
  <c r="I136" i="22" s="1"/>
  <c r="L136" i="22" s="1"/>
  <c r="H136" i="22" a="1"/>
  <c r="H136" i="22" s="1"/>
  <c r="K136" i="22" s="1"/>
  <c r="I135" i="22" a="1"/>
  <c r="I135" i="22" s="1"/>
  <c r="L135" i="22" s="1"/>
  <c r="H135" i="22" a="1"/>
  <c r="H135" i="22" s="1"/>
  <c r="K135" i="22" s="1"/>
  <c r="I134" i="22" a="1"/>
  <c r="I134" i="22" s="1"/>
  <c r="L134" i="22" s="1"/>
  <c r="H134" i="22" a="1"/>
  <c r="H134" i="22" s="1"/>
  <c r="K134" i="22" s="1"/>
  <c r="I133" i="22" a="1"/>
  <c r="I133" i="22" s="1"/>
  <c r="L133" i="22" s="1"/>
  <c r="H133" i="22" a="1"/>
  <c r="H133" i="22" s="1"/>
  <c r="K133" i="22" s="1"/>
  <c r="I132" i="22" a="1"/>
  <c r="I132" i="22" s="1"/>
  <c r="L132" i="22" s="1"/>
  <c r="H132" i="22" a="1"/>
  <c r="H132" i="22" s="1"/>
  <c r="K132" i="22" s="1"/>
  <c r="I131" i="22" a="1"/>
  <c r="I131" i="22" s="1"/>
  <c r="L131" i="22" s="1"/>
  <c r="H131" i="22" a="1"/>
  <c r="H131" i="22" s="1"/>
  <c r="K131" i="22" s="1"/>
  <c r="I130" i="22" a="1"/>
  <c r="I130" i="22" s="1"/>
  <c r="L130" i="22" s="1"/>
  <c r="H130" i="22" a="1"/>
  <c r="H130" i="22" s="1"/>
  <c r="K130" i="22" s="1"/>
  <c r="I129" i="22" a="1"/>
  <c r="I129" i="22" s="1"/>
  <c r="L129" i="22" s="1"/>
  <c r="H129" i="22" a="1"/>
  <c r="H129" i="22" s="1"/>
  <c r="K129" i="22" s="1"/>
  <c r="I128" i="22" a="1"/>
  <c r="I128" i="22" s="1"/>
  <c r="L128" i="22" s="1"/>
  <c r="H128" i="22" a="1"/>
  <c r="H128" i="22" s="1"/>
  <c r="K128" i="22" s="1"/>
  <c r="I127" i="22" a="1"/>
  <c r="I127" i="22" s="1"/>
  <c r="L127" i="22" s="1"/>
  <c r="H127" i="22" a="1"/>
  <c r="H127" i="22" s="1"/>
  <c r="K127" i="22" s="1"/>
  <c r="I126" i="22" a="1"/>
  <c r="I126" i="22" s="1"/>
  <c r="L126" i="22" s="1"/>
  <c r="H126" i="22" a="1"/>
  <c r="H126" i="22" s="1"/>
  <c r="K126" i="22" s="1"/>
  <c r="I125" i="22" a="1"/>
  <c r="I125" i="22" s="1"/>
  <c r="L125" i="22" s="1"/>
  <c r="H125" i="22" a="1"/>
  <c r="H125" i="22" s="1"/>
  <c r="K125" i="22" s="1"/>
  <c r="I124" i="22" a="1"/>
  <c r="I124" i="22" s="1"/>
  <c r="L124" i="22" s="1"/>
  <c r="H124" i="22" a="1"/>
  <c r="H124" i="22" s="1"/>
  <c r="K124" i="22" s="1"/>
  <c r="I123" i="22" a="1"/>
  <c r="I123" i="22" s="1"/>
  <c r="L123" i="22" s="1"/>
  <c r="H123" i="22" a="1"/>
  <c r="H123" i="22" s="1"/>
  <c r="K123" i="22" s="1"/>
  <c r="I122" i="22" a="1"/>
  <c r="I122" i="22" s="1"/>
  <c r="L122" i="22" s="1"/>
  <c r="H122" i="22" a="1"/>
  <c r="H122" i="22" s="1"/>
  <c r="K122" i="22" s="1"/>
  <c r="I121" i="22" a="1"/>
  <c r="I121" i="22" s="1"/>
  <c r="L121" i="22" s="1"/>
  <c r="H121" i="22" a="1"/>
  <c r="H121" i="22" s="1"/>
  <c r="K121" i="22" s="1"/>
  <c r="I120" i="22" a="1"/>
  <c r="I120" i="22" s="1"/>
  <c r="L120" i="22" s="1"/>
  <c r="H120" i="22" a="1"/>
  <c r="H120" i="22" s="1"/>
  <c r="K120" i="22" s="1"/>
  <c r="I119" i="22" a="1"/>
  <c r="I119" i="22" s="1"/>
  <c r="L119" i="22" s="1"/>
  <c r="H119" i="22" a="1"/>
  <c r="H119" i="22" s="1"/>
  <c r="K119" i="22" s="1"/>
  <c r="I118" i="22" a="1"/>
  <c r="I118" i="22" s="1"/>
  <c r="L118" i="22" s="1"/>
  <c r="H118" i="22" a="1"/>
  <c r="H118" i="22" s="1"/>
  <c r="K118" i="22" s="1"/>
  <c r="I117" i="22" a="1"/>
  <c r="I117" i="22" s="1"/>
  <c r="L117" i="22" s="1"/>
  <c r="H117" i="22" a="1"/>
  <c r="H117" i="22" s="1"/>
  <c r="K117" i="22" s="1"/>
  <c r="I116" i="22" a="1"/>
  <c r="I116" i="22" s="1"/>
  <c r="L116" i="22" s="1"/>
  <c r="H116" i="22" a="1"/>
  <c r="H116" i="22" s="1"/>
  <c r="K116" i="22" s="1"/>
  <c r="I115" i="22" a="1"/>
  <c r="I115" i="22" s="1"/>
  <c r="L115" i="22" s="1"/>
  <c r="H115" i="22" a="1"/>
  <c r="H115" i="22" s="1"/>
  <c r="K115" i="22" s="1"/>
  <c r="I114" i="22" a="1"/>
  <c r="I114" i="22" s="1"/>
  <c r="L114" i="22" s="1"/>
  <c r="H114" i="22" a="1"/>
  <c r="H114" i="22" s="1"/>
  <c r="K114" i="22" s="1"/>
  <c r="I113" i="22" a="1"/>
  <c r="I113" i="22" s="1"/>
  <c r="L113" i="22" s="1"/>
  <c r="H113" i="22" a="1"/>
  <c r="H113" i="22" s="1"/>
  <c r="K113" i="22" s="1"/>
  <c r="I112" i="22" a="1"/>
  <c r="I112" i="22" s="1"/>
  <c r="L112" i="22" s="1"/>
  <c r="H112" i="22" a="1"/>
  <c r="H112" i="22" s="1"/>
  <c r="K112" i="22" s="1"/>
  <c r="I111" i="22" a="1"/>
  <c r="I111" i="22" s="1"/>
  <c r="L111" i="22" s="1"/>
  <c r="H111" i="22" a="1"/>
  <c r="H111" i="22" s="1"/>
  <c r="K111" i="22" s="1"/>
  <c r="I110" i="22" a="1"/>
  <c r="I110" i="22" s="1"/>
  <c r="L110" i="22" s="1"/>
  <c r="H110" i="22" a="1"/>
  <c r="H110" i="22" s="1"/>
  <c r="K110" i="22" s="1"/>
  <c r="I109" i="22" a="1"/>
  <c r="I109" i="22" s="1"/>
  <c r="L109" i="22" s="1"/>
  <c r="H109" i="22" a="1"/>
  <c r="H109" i="22" s="1"/>
  <c r="K109" i="22" s="1"/>
  <c r="I108" i="22" a="1"/>
  <c r="I108" i="22" s="1"/>
  <c r="L108" i="22" s="1"/>
  <c r="H108" i="22" a="1"/>
  <c r="H108" i="22" s="1"/>
  <c r="K108" i="22" s="1"/>
  <c r="I107" i="22" a="1"/>
  <c r="I107" i="22" s="1"/>
  <c r="L107" i="22" s="1"/>
  <c r="H107" i="22" a="1"/>
  <c r="H107" i="22" s="1"/>
  <c r="K107" i="22" s="1"/>
  <c r="I106" i="22" a="1"/>
  <c r="I106" i="22" s="1"/>
  <c r="L106" i="22" s="1"/>
  <c r="H106" i="22" a="1"/>
  <c r="H106" i="22" s="1"/>
  <c r="K106" i="22" s="1"/>
  <c r="I105" i="22" a="1"/>
  <c r="I105" i="22" s="1"/>
  <c r="L105" i="22" s="1"/>
  <c r="H105" i="22" a="1"/>
  <c r="H105" i="22" s="1"/>
  <c r="K105" i="22" s="1"/>
  <c r="I104" i="22" a="1"/>
  <c r="I104" i="22" s="1"/>
  <c r="L104" i="22" s="1"/>
  <c r="H104" i="22" a="1"/>
  <c r="H104" i="22" s="1"/>
  <c r="K104" i="22" s="1"/>
  <c r="I103" i="22" a="1"/>
  <c r="I103" i="22" s="1"/>
  <c r="L103" i="22" s="1"/>
  <c r="H103" i="22" a="1"/>
  <c r="H103" i="22" s="1"/>
  <c r="K103" i="22" s="1"/>
  <c r="I102" i="22" a="1"/>
  <c r="I102" i="22" s="1"/>
  <c r="L102" i="22" s="1"/>
  <c r="H102" i="22" a="1"/>
  <c r="H102" i="22" s="1"/>
  <c r="K102" i="22" s="1"/>
  <c r="I101" i="22" a="1"/>
  <c r="I101" i="22" s="1"/>
  <c r="L101" i="22" s="1"/>
  <c r="H101" i="22" a="1"/>
  <c r="H101" i="22" s="1"/>
  <c r="K101" i="22" s="1"/>
  <c r="I100" i="22" a="1"/>
  <c r="I100" i="22" s="1"/>
  <c r="L100" i="22" s="1"/>
  <c r="H100" i="22" a="1"/>
  <c r="H100" i="22" s="1"/>
  <c r="K100" i="22" s="1"/>
  <c r="I99" i="22" a="1"/>
  <c r="I99" i="22" s="1"/>
  <c r="L99" i="22" s="1"/>
  <c r="H99" i="22" a="1"/>
  <c r="H99" i="22" s="1"/>
  <c r="K99" i="22" s="1"/>
  <c r="I98" i="22" a="1"/>
  <c r="I98" i="22" s="1"/>
  <c r="L98" i="22" s="1"/>
  <c r="H98" i="22" a="1"/>
  <c r="H98" i="22" s="1"/>
  <c r="K98" i="22" s="1"/>
  <c r="I97" i="22" a="1"/>
  <c r="I97" i="22" s="1"/>
  <c r="L97" i="22" s="1"/>
  <c r="H97" i="22" a="1"/>
  <c r="H97" i="22" s="1"/>
  <c r="K97" i="22" s="1"/>
  <c r="I96" i="22" a="1"/>
  <c r="I96" i="22" s="1"/>
  <c r="L96" i="22" s="1"/>
  <c r="H96" i="22" a="1"/>
  <c r="H96" i="22" s="1"/>
  <c r="K96" i="22" s="1"/>
  <c r="I95" i="22" a="1"/>
  <c r="I95" i="22" s="1"/>
  <c r="L95" i="22" s="1"/>
  <c r="H95" i="22" a="1"/>
  <c r="H95" i="22" s="1"/>
  <c r="K95" i="22" s="1"/>
  <c r="I94" i="22" a="1"/>
  <c r="I94" i="22" s="1"/>
  <c r="L94" i="22" s="1"/>
  <c r="H94" i="22" a="1"/>
  <c r="H94" i="22" s="1"/>
  <c r="K94" i="22" s="1"/>
  <c r="I93" i="22" a="1"/>
  <c r="I93" i="22" s="1"/>
  <c r="L93" i="22" s="1"/>
  <c r="H93" i="22" a="1"/>
  <c r="H93" i="22" s="1"/>
  <c r="K93" i="22" s="1"/>
  <c r="I92" i="22" a="1"/>
  <c r="I92" i="22" s="1"/>
  <c r="L92" i="22" s="1"/>
  <c r="H92" i="22" a="1"/>
  <c r="H92" i="22" s="1"/>
  <c r="K92" i="22" s="1"/>
  <c r="I91" i="22" a="1"/>
  <c r="I91" i="22" s="1"/>
  <c r="L91" i="22" s="1"/>
  <c r="H91" i="22" a="1"/>
  <c r="H91" i="22" s="1"/>
  <c r="K91" i="22" s="1"/>
  <c r="I90" i="22" a="1"/>
  <c r="I90" i="22" s="1"/>
  <c r="L90" i="22" s="1"/>
  <c r="H90" i="22" a="1"/>
  <c r="H90" i="22" s="1"/>
  <c r="K90" i="22" s="1"/>
  <c r="I89" i="22" a="1"/>
  <c r="I89" i="22" s="1"/>
  <c r="L89" i="22" s="1"/>
  <c r="H89" i="22" a="1"/>
  <c r="H89" i="22" s="1"/>
  <c r="K89" i="22" s="1"/>
  <c r="I88" i="22" a="1"/>
  <c r="I88" i="22" s="1"/>
  <c r="L88" i="22" s="1"/>
  <c r="H88" i="22" a="1"/>
  <c r="H88" i="22" s="1"/>
  <c r="K88" i="22" s="1"/>
  <c r="I87" i="22" a="1"/>
  <c r="I87" i="22" s="1"/>
  <c r="L87" i="22" s="1"/>
  <c r="H87" i="22" a="1"/>
  <c r="H87" i="22" s="1"/>
  <c r="K87" i="22" s="1"/>
  <c r="I86" i="22" a="1"/>
  <c r="I86" i="22" s="1"/>
  <c r="L86" i="22" s="1"/>
  <c r="H86" i="22" a="1"/>
  <c r="H86" i="22" s="1"/>
  <c r="K86" i="22" s="1"/>
  <c r="I85" i="22" a="1"/>
  <c r="I85" i="22" s="1"/>
  <c r="L85" i="22" s="1"/>
  <c r="H85" i="22" a="1"/>
  <c r="H85" i="22" s="1"/>
  <c r="K85" i="22" s="1"/>
  <c r="I84" i="22" a="1"/>
  <c r="I84" i="22" s="1"/>
  <c r="L84" i="22" s="1"/>
  <c r="H84" i="22" a="1"/>
  <c r="H84" i="22" s="1"/>
  <c r="K84" i="22" s="1"/>
  <c r="I83" i="22" a="1"/>
  <c r="I83" i="22" s="1"/>
  <c r="L83" i="22" s="1"/>
  <c r="H83" i="22" a="1"/>
  <c r="H83" i="22" s="1"/>
  <c r="K83" i="22" s="1"/>
  <c r="I82" i="22" a="1"/>
  <c r="I82" i="22" s="1"/>
  <c r="L82" i="22" s="1"/>
  <c r="H82" i="22" a="1"/>
  <c r="H82" i="22" s="1"/>
  <c r="K82" i="22" s="1"/>
  <c r="I81" i="22" a="1"/>
  <c r="I81" i="22" s="1"/>
  <c r="L81" i="22" s="1"/>
  <c r="H81" i="22" a="1"/>
  <c r="H81" i="22" s="1"/>
  <c r="K81" i="22" s="1"/>
  <c r="I80" i="22" a="1"/>
  <c r="I80" i="22" s="1"/>
  <c r="L80" i="22" s="1"/>
  <c r="H80" i="22" a="1"/>
  <c r="H80" i="22" s="1"/>
  <c r="K80" i="22" s="1"/>
  <c r="I79" i="22" a="1"/>
  <c r="I79" i="22" s="1"/>
  <c r="L79" i="22" s="1"/>
  <c r="H79" i="22" a="1"/>
  <c r="H79" i="22" s="1"/>
  <c r="K79" i="22" s="1"/>
  <c r="I78" i="22" a="1"/>
  <c r="I78" i="22" s="1"/>
  <c r="L78" i="22" s="1"/>
  <c r="H78" i="22" a="1"/>
  <c r="H78" i="22" s="1"/>
  <c r="K78" i="22" s="1"/>
  <c r="I77" i="22" a="1"/>
  <c r="I77" i="22" s="1"/>
  <c r="L77" i="22" s="1"/>
  <c r="H77" i="22" a="1"/>
  <c r="H77" i="22" s="1"/>
  <c r="K77" i="22" s="1"/>
  <c r="I76" i="22" a="1"/>
  <c r="I76" i="22" s="1"/>
  <c r="L76" i="22" s="1"/>
  <c r="H76" i="22" a="1"/>
  <c r="H76" i="22" s="1"/>
  <c r="K76" i="22" s="1"/>
  <c r="I75" i="22" a="1"/>
  <c r="I75" i="22" s="1"/>
  <c r="L75" i="22" s="1"/>
  <c r="H75" i="22" a="1"/>
  <c r="H75" i="22" s="1"/>
  <c r="K75" i="22" s="1"/>
  <c r="I74" i="22" a="1"/>
  <c r="I74" i="22" s="1"/>
  <c r="L74" i="22" s="1"/>
  <c r="H74" i="22" a="1"/>
  <c r="H74" i="22" s="1"/>
  <c r="K74" i="22" s="1"/>
  <c r="I73" i="22" a="1"/>
  <c r="I73" i="22" s="1"/>
  <c r="L73" i="22" s="1"/>
  <c r="H73" i="22" a="1"/>
  <c r="H73" i="22" s="1"/>
  <c r="K73" i="22" s="1"/>
  <c r="I72" i="22" a="1"/>
  <c r="I72" i="22" s="1"/>
  <c r="L72" i="22" s="1"/>
  <c r="H72" i="22" a="1"/>
  <c r="H72" i="22" s="1"/>
  <c r="K72" i="22" s="1"/>
  <c r="I71" i="22" a="1"/>
  <c r="I71" i="22" s="1"/>
  <c r="L71" i="22" s="1"/>
  <c r="H71" i="22" a="1"/>
  <c r="H71" i="22" s="1"/>
  <c r="K71" i="22" s="1"/>
  <c r="I70" i="22" a="1"/>
  <c r="I70" i="22" s="1"/>
  <c r="L70" i="22" s="1"/>
  <c r="H70" i="22" a="1"/>
  <c r="H70" i="22" s="1"/>
  <c r="K70" i="22" s="1"/>
  <c r="I69" i="22" a="1"/>
  <c r="I69" i="22" s="1"/>
  <c r="L69" i="22" s="1"/>
  <c r="H69" i="22" a="1"/>
  <c r="H69" i="22" s="1"/>
  <c r="K69" i="22" s="1"/>
  <c r="I68" i="22" a="1"/>
  <c r="I68" i="22" s="1"/>
  <c r="L68" i="22" s="1"/>
  <c r="H68" i="22" a="1"/>
  <c r="H68" i="22" s="1"/>
  <c r="K68" i="22" s="1"/>
  <c r="I67" i="22" a="1"/>
  <c r="I67" i="22" s="1"/>
  <c r="L67" i="22" s="1"/>
  <c r="H67" i="22" a="1"/>
  <c r="H67" i="22" s="1"/>
  <c r="K67" i="22" s="1"/>
  <c r="I66" i="22" a="1"/>
  <c r="I66" i="22" s="1"/>
  <c r="L66" i="22" s="1"/>
  <c r="H66" i="22" a="1"/>
  <c r="H66" i="22" s="1"/>
  <c r="K66" i="22" s="1"/>
  <c r="I65" i="22" a="1"/>
  <c r="I65" i="22" s="1"/>
  <c r="L65" i="22" s="1"/>
  <c r="H65" i="22" a="1"/>
  <c r="H65" i="22" s="1"/>
  <c r="K65" i="22" s="1"/>
  <c r="I64" i="22" a="1"/>
  <c r="I64" i="22" s="1"/>
  <c r="L64" i="22" s="1"/>
  <c r="H64" i="22" a="1"/>
  <c r="H64" i="22" s="1"/>
  <c r="K64" i="22" s="1"/>
  <c r="I63" i="22" a="1"/>
  <c r="I63" i="22" s="1"/>
  <c r="L63" i="22" s="1"/>
  <c r="H63" i="22" a="1"/>
  <c r="H63" i="22" s="1"/>
  <c r="K63" i="22" s="1"/>
  <c r="I62" i="22" a="1"/>
  <c r="I62" i="22" s="1"/>
  <c r="L62" i="22" s="1"/>
  <c r="H62" i="22" a="1"/>
  <c r="H62" i="22" s="1"/>
  <c r="K62" i="22" s="1"/>
  <c r="I61" i="22" a="1"/>
  <c r="I61" i="22" s="1"/>
  <c r="L61" i="22" s="1"/>
  <c r="H61" i="22" a="1"/>
  <c r="H61" i="22" s="1"/>
  <c r="K61" i="22" s="1"/>
  <c r="I60" i="22" a="1"/>
  <c r="I60" i="22" s="1"/>
  <c r="L60" i="22" s="1"/>
  <c r="H60" i="22" a="1"/>
  <c r="H60" i="22" s="1"/>
  <c r="K60" i="22" s="1"/>
  <c r="I59" i="22" a="1"/>
  <c r="I59" i="22" s="1"/>
  <c r="L59" i="22" s="1"/>
  <c r="H59" i="22" a="1"/>
  <c r="H59" i="22" s="1"/>
  <c r="K59" i="22" s="1"/>
  <c r="I58" i="22" a="1"/>
  <c r="I58" i="22" s="1"/>
  <c r="L58" i="22" s="1"/>
  <c r="H58" i="22" a="1"/>
  <c r="H58" i="22" s="1"/>
  <c r="K58" i="22" s="1"/>
  <c r="I57" i="22" a="1"/>
  <c r="I57" i="22" s="1"/>
  <c r="L57" i="22" s="1"/>
  <c r="H57" i="22" a="1"/>
  <c r="H57" i="22" s="1"/>
  <c r="K57" i="22" s="1"/>
  <c r="I56" i="22" a="1"/>
  <c r="I56" i="22" s="1"/>
  <c r="L56" i="22" s="1"/>
  <c r="H56" i="22" a="1"/>
  <c r="H56" i="22" s="1"/>
  <c r="K56" i="22" s="1"/>
  <c r="I55" i="22" a="1"/>
  <c r="I55" i="22" s="1"/>
  <c r="L55" i="22" s="1"/>
  <c r="H55" i="22" a="1"/>
  <c r="H55" i="22" s="1"/>
  <c r="K55" i="22" s="1"/>
  <c r="I54" i="22" a="1"/>
  <c r="I54" i="22" s="1"/>
  <c r="L54" i="22" s="1"/>
  <c r="H54" i="22" a="1"/>
  <c r="H54" i="22" s="1"/>
  <c r="K54" i="22" s="1"/>
  <c r="I53" i="22" a="1"/>
  <c r="I53" i="22" s="1"/>
  <c r="L53" i="22" s="1"/>
  <c r="H53" i="22" a="1"/>
  <c r="H53" i="22" s="1"/>
  <c r="K53" i="22" s="1"/>
  <c r="I52" i="22" a="1"/>
  <c r="I52" i="22" s="1"/>
  <c r="L52" i="22" s="1"/>
  <c r="H52" i="22" a="1"/>
  <c r="H52" i="22" s="1"/>
  <c r="K52" i="22" s="1"/>
  <c r="I51" i="22" a="1"/>
  <c r="I51" i="22" s="1"/>
  <c r="L51" i="22" s="1"/>
  <c r="H51" i="22" a="1"/>
  <c r="H51" i="22" s="1"/>
  <c r="K51" i="22" s="1"/>
  <c r="I50" i="22" a="1"/>
  <c r="I50" i="22" s="1"/>
  <c r="L50" i="22" s="1"/>
  <c r="H50" i="22" a="1"/>
  <c r="H50" i="22" s="1"/>
  <c r="K50" i="22" s="1"/>
  <c r="I49" i="22" a="1"/>
  <c r="I49" i="22" s="1"/>
  <c r="L49" i="22" s="1"/>
  <c r="H49" i="22" a="1"/>
  <c r="H49" i="22" s="1"/>
  <c r="K49" i="22" s="1"/>
  <c r="I48" i="22" a="1"/>
  <c r="I48" i="22" s="1"/>
  <c r="L48" i="22" s="1"/>
  <c r="H48" i="22" a="1"/>
  <c r="H48" i="22" s="1"/>
  <c r="K48" i="22" s="1"/>
  <c r="I47" i="22" a="1"/>
  <c r="I47" i="22" s="1"/>
  <c r="L47" i="22" s="1"/>
  <c r="H47" i="22" a="1"/>
  <c r="H47" i="22" s="1"/>
  <c r="K47" i="22" s="1"/>
  <c r="I46" i="22" a="1"/>
  <c r="I46" i="22" s="1"/>
  <c r="L46" i="22" s="1"/>
  <c r="H46" i="22" a="1"/>
  <c r="H46" i="22" s="1"/>
  <c r="K46" i="22" s="1"/>
  <c r="I45" i="22" a="1"/>
  <c r="I45" i="22" s="1"/>
  <c r="L45" i="22" s="1"/>
  <c r="H45" i="22" a="1"/>
  <c r="H45" i="22" s="1"/>
  <c r="K45" i="22" s="1"/>
  <c r="I44" i="22" a="1"/>
  <c r="I44" i="22" s="1"/>
  <c r="L44" i="22" s="1"/>
  <c r="H44" i="22" a="1"/>
  <c r="H44" i="22" s="1"/>
  <c r="K44" i="22" s="1"/>
  <c r="I43" i="22" a="1"/>
  <c r="I43" i="22" s="1"/>
  <c r="L43" i="22" s="1"/>
  <c r="H43" i="22" a="1"/>
  <c r="H43" i="22" s="1"/>
  <c r="K43" i="22" s="1"/>
  <c r="I42" i="22" a="1"/>
  <c r="I42" i="22" s="1"/>
  <c r="L42" i="22" s="1"/>
  <c r="H42" i="22" a="1"/>
  <c r="H42" i="22" s="1"/>
  <c r="K42" i="22" s="1"/>
  <c r="I41" i="22" a="1"/>
  <c r="I41" i="22" s="1"/>
  <c r="L41" i="22" s="1"/>
  <c r="H41" i="22" a="1"/>
  <c r="H41" i="22" s="1"/>
  <c r="K41" i="22" s="1"/>
  <c r="I40" i="22" a="1"/>
  <c r="I40" i="22" s="1"/>
  <c r="L40" i="22" s="1"/>
  <c r="H40" i="22" a="1"/>
  <c r="H40" i="22" s="1"/>
  <c r="K40" i="22" s="1"/>
  <c r="I39" i="22" a="1"/>
  <c r="I39" i="22" s="1"/>
  <c r="L39" i="22" s="1"/>
  <c r="H39" i="22" a="1"/>
  <c r="H39" i="22" s="1"/>
  <c r="K39" i="22" s="1"/>
  <c r="I38" i="22" a="1"/>
  <c r="I38" i="22" s="1"/>
  <c r="L38" i="22" s="1"/>
  <c r="H38" i="22" a="1"/>
  <c r="H38" i="22" s="1"/>
  <c r="K38" i="22" s="1"/>
  <c r="I37" i="22" a="1"/>
  <c r="I37" i="22" s="1"/>
  <c r="L37" i="22" s="1"/>
  <c r="H37" i="22" a="1"/>
  <c r="H37" i="22" s="1"/>
  <c r="K37" i="22" s="1"/>
  <c r="I36" i="22" a="1"/>
  <c r="I36" i="22" s="1"/>
  <c r="L36" i="22" s="1"/>
  <c r="H36" i="22" a="1"/>
  <c r="H36" i="22" s="1"/>
  <c r="K36" i="22" s="1"/>
  <c r="I35" i="22" a="1"/>
  <c r="I35" i="22" s="1"/>
  <c r="L35" i="22" s="1"/>
  <c r="H35" i="22" a="1"/>
  <c r="H35" i="22" s="1"/>
  <c r="K35" i="22" s="1"/>
  <c r="I34" i="22" a="1"/>
  <c r="I34" i="22" s="1"/>
  <c r="L34" i="22" s="1"/>
  <c r="H34" i="22" a="1"/>
  <c r="H34" i="22" s="1"/>
  <c r="K34" i="22" s="1"/>
  <c r="I33" i="22" a="1"/>
  <c r="I33" i="22" s="1"/>
  <c r="L33" i="22" s="1"/>
  <c r="H33" i="22" a="1"/>
  <c r="H33" i="22" s="1"/>
  <c r="K33" i="22" s="1"/>
  <c r="I32" i="22" a="1"/>
  <c r="I32" i="22" s="1"/>
  <c r="L32" i="22" s="1"/>
  <c r="H32" i="22" a="1"/>
  <c r="H32" i="22" s="1"/>
  <c r="K32" i="22" s="1"/>
  <c r="I31" i="22" a="1"/>
  <c r="I31" i="22" s="1"/>
  <c r="L31" i="22" s="1"/>
  <c r="H31" i="22" a="1"/>
  <c r="H31" i="22" s="1"/>
  <c r="K31" i="22" s="1"/>
  <c r="I30" i="22" a="1"/>
  <c r="I30" i="22" s="1"/>
  <c r="L30" i="22" s="1"/>
  <c r="H30" i="22" a="1"/>
  <c r="H30" i="22" s="1"/>
  <c r="K30" i="22" s="1"/>
  <c r="I29" i="22" a="1"/>
  <c r="I29" i="22" s="1"/>
  <c r="L29" i="22" s="1"/>
  <c r="H29" i="22" a="1"/>
  <c r="H29" i="22" s="1"/>
  <c r="K29" i="22" s="1"/>
  <c r="I28" i="22" a="1"/>
  <c r="I28" i="22" s="1"/>
  <c r="L28" i="22" s="1"/>
  <c r="H28" i="22" a="1"/>
  <c r="H28" i="22" s="1"/>
  <c r="K28" i="22" s="1"/>
  <c r="I27" i="22" a="1"/>
  <c r="I27" i="22" s="1"/>
  <c r="L27" i="22" s="1"/>
  <c r="M27" i="22" s="1"/>
  <c r="H27" i="22" a="1"/>
  <c r="H27" i="22" s="1"/>
  <c r="K27" i="22" s="1"/>
  <c r="I26" i="22" a="1"/>
  <c r="I26" i="22" s="1"/>
  <c r="L26" i="22" s="1"/>
  <c r="H26" i="22" a="1"/>
  <c r="H26" i="22" s="1"/>
  <c r="K26" i="22" s="1"/>
  <c r="I25" i="22" a="1"/>
  <c r="I25" i="22" s="1"/>
  <c r="L25" i="22" s="1"/>
  <c r="H25" i="22" a="1"/>
  <c r="H25" i="22" s="1"/>
  <c r="K25" i="22" s="1"/>
  <c r="I24" i="22" a="1"/>
  <c r="I24" i="22" s="1"/>
  <c r="L24" i="22" s="1"/>
  <c r="H24" i="22" a="1"/>
  <c r="H24" i="22" s="1"/>
  <c r="K24" i="22" s="1"/>
  <c r="I23" i="22" a="1"/>
  <c r="I23" i="22" s="1"/>
  <c r="L23" i="22" s="1"/>
  <c r="H23" i="22" a="1"/>
  <c r="H23" i="22" s="1"/>
  <c r="K23" i="22" s="1"/>
  <c r="I22" i="22" a="1"/>
  <c r="I22" i="22" s="1"/>
  <c r="L22" i="22" s="1"/>
  <c r="H22" i="22" a="1"/>
  <c r="H22" i="22" s="1"/>
  <c r="K22" i="22" s="1"/>
  <c r="I21" i="22" a="1"/>
  <c r="I21" i="22" s="1"/>
  <c r="L21" i="22" s="1"/>
  <c r="H21" i="22" a="1"/>
  <c r="H21" i="22" s="1"/>
  <c r="K21" i="22" s="1"/>
  <c r="O20" i="22"/>
  <c r="I20" i="22" a="1"/>
  <c r="I20" i="22" s="1"/>
  <c r="L20" i="22" s="1"/>
  <c r="H20" i="22" a="1"/>
  <c r="H20" i="22" s="1"/>
  <c r="K20" i="22" s="1"/>
  <c r="O19" i="22"/>
  <c r="I19" i="22" a="1"/>
  <c r="I19" i="22" s="1"/>
  <c r="L19" i="22" s="1"/>
  <c r="H19" i="22" a="1"/>
  <c r="H19" i="22" s="1"/>
  <c r="K19" i="22" s="1"/>
  <c r="I18" i="22" a="1"/>
  <c r="I18" i="22" s="1"/>
  <c r="L18" i="22" s="1"/>
  <c r="H18" i="22" a="1"/>
  <c r="H18" i="22" s="1"/>
  <c r="K18" i="22" s="1"/>
  <c r="I17" i="22" a="1"/>
  <c r="I17" i="22" s="1"/>
  <c r="L17" i="22" s="1"/>
  <c r="H17" i="22" a="1"/>
  <c r="H17" i="22" s="1"/>
  <c r="K17" i="22" s="1"/>
  <c r="I16" i="22" a="1"/>
  <c r="I16" i="22" s="1"/>
  <c r="L16" i="22" s="1"/>
  <c r="H16" i="22" a="1"/>
  <c r="H16" i="22" s="1"/>
  <c r="K16" i="22" s="1"/>
  <c r="I15" i="22" a="1"/>
  <c r="I15" i="22" s="1"/>
  <c r="L15" i="22" s="1"/>
  <c r="H15" i="22" a="1"/>
  <c r="H15" i="22" s="1"/>
  <c r="K15" i="22" s="1"/>
  <c r="I14" i="22" a="1"/>
  <c r="I14" i="22" s="1"/>
  <c r="L14" i="22" s="1"/>
  <c r="H14" i="22" a="1"/>
  <c r="H14" i="22" s="1"/>
  <c r="K14" i="22" s="1"/>
  <c r="I13" i="22" a="1"/>
  <c r="I13" i="22" s="1"/>
  <c r="L13" i="22" s="1"/>
  <c r="H13" i="22" a="1"/>
  <c r="H13" i="22" s="1"/>
  <c r="K13" i="22" s="1"/>
  <c r="I12" i="22" a="1"/>
  <c r="I12" i="22" s="1"/>
  <c r="L12" i="22" s="1"/>
  <c r="H12" i="22" a="1"/>
  <c r="H12" i="22" s="1"/>
  <c r="K12" i="22" s="1"/>
  <c r="I11" i="22" a="1"/>
  <c r="I11" i="22" s="1"/>
  <c r="L11" i="22" s="1"/>
  <c r="H11" i="22" a="1"/>
  <c r="H11" i="22" s="1"/>
  <c r="K11" i="22" s="1"/>
  <c r="I10" i="22" a="1"/>
  <c r="I10" i="22" s="1"/>
  <c r="L10" i="22" s="1"/>
  <c r="H10" i="22" a="1"/>
  <c r="H10" i="22" s="1"/>
  <c r="K10" i="22" s="1"/>
  <c r="I9" i="22" a="1"/>
  <c r="I9" i="22" s="1"/>
  <c r="L9" i="22" s="1"/>
  <c r="H9" i="22" a="1"/>
  <c r="H9" i="22" s="1"/>
  <c r="K9" i="22" s="1"/>
  <c r="I8" i="22" a="1"/>
  <c r="I8" i="22" s="1"/>
  <c r="L8" i="22" s="1"/>
  <c r="H8" i="22" a="1"/>
  <c r="H8" i="22" s="1"/>
  <c r="K8" i="22" s="1"/>
  <c r="I7" i="22" a="1"/>
  <c r="I7" i="22" s="1"/>
  <c r="L7" i="22" s="1"/>
  <c r="H7" i="22" a="1"/>
  <c r="H7" i="22" s="1"/>
  <c r="K7" i="22" s="1"/>
  <c r="I6" i="22" a="1"/>
  <c r="I6" i="22" s="1"/>
  <c r="L6" i="22" s="1"/>
  <c r="H6" i="22" a="1"/>
  <c r="H6" i="22" s="1"/>
  <c r="K6" i="22" s="1"/>
  <c r="W5" i="22"/>
  <c r="I5" i="22" a="1"/>
  <c r="I5" i="22" s="1"/>
  <c r="L5" i="22" s="1"/>
  <c r="H5" i="22" a="1"/>
  <c r="H5" i="22" s="1"/>
  <c r="K5" i="22" s="1"/>
  <c r="I4" i="22" a="1"/>
  <c r="I4" i="22" s="1"/>
  <c r="L4" i="22" s="1"/>
  <c r="H4" i="22" a="1"/>
  <c r="H4" i="22" s="1"/>
  <c r="K4" i="22" s="1"/>
  <c r="I3" i="22" a="1"/>
  <c r="I3" i="22" s="1"/>
  <c r="L3" i="22" s="1"/>
  <c r="H3" i="22" a="1"/>
  <c r="H3" i="22" s="1"/>
  <c r="K3" i="22" s="1"/>
  <c r="I2" i="22" a="1"/>
  <c r="I2" i="22" s="1"/>
  <c r="L2" i="22" s="1"/>
  <c r="H2" i="22" a="1"/>
  <c r="H2" i="22" s="1"/>
  <c r="K2" i="22" s="1"/>
  <c r="H582" i="21" a="1"/>
  <c r="H582" i="21" s="1"/>
  <c r="F582" i="21" a="1"/>
  <c r="F582" i="21" s="1"/>
  <c r="K582" i="21" s="1"/>
  <c r="L582" i="21" s="1"/>
  <c r="H581" i="21" a="1"/>
  <c r="H581" i="21" s="1"/>
  <c r="F581" i="21" a="1"/>
  <c r="F581" i="21" s="1"/>
  <c r="K581" i="21" s="1"/>
  <c r="H580" i="21" a="1"/>
  <c r="H580" i="21" s="1"/>
  <c r="F580" i="21" a="1"/>
  <c r="F580" i="21" s="1"/>
  <c r="K580" i="21" s="1"/>
  <c r="H579" i="21" a="1"/>
  <c r="H579" i="21" s="1"/>
  <c r="F579" i="21" a="1"/>
  <c r="F579" i="21" s="1"/>
  <c r="K579" i="21" s="1"/>
  <c r="L579" i="21" s="1"/>
  <c r="H578" i="21" a="1"/>
  <c r="H578" i="21" s="1"/>
  <c r="F578" i="21" a="1"/>
  <c r="F578" i="21" s="1"/>
  <c r="K578" i="21" s="1"/>
  <c r="H577" i="21" a="1"/>
  <c r="H577" i="21" s="1"/>
  <c r="F577" i="21" a="1"/>
  <c r="F577" i="21" s="1"/>
  <c r="K577" i="21" s="1"/>
  <c r="L577" i="21" s="1"/>
  <c r="H576" i="21" a="1"/>
  <c r="H576" i="21" s="1"/>
  <c r="F576" i="21" a="1"/>
  <c r="F576" i="21" s="1"/>
  <c r="K576" i="21" s="1"/>
  <c r="L576" i="21" s="1"/>
  <c r="H575" i="21" a="1"/>
  <c r="H575" i="21" s="1"/>
  <c r="F575" i="21" a="1"/>
  <c r="F575" i="21" s="1"/>
  <c r="K575" i="21" s="1"/>
  <c r="L575" i="21" s="1"/>
  <c r="H574" i="21" a="1"/>
  <c r="H574" i="21" s="1"/>
  <c r="F574" i="21" a="1"/>
  <c r="F574" i="21" s="1"/>
  <c r="K574" i="21" s="1"/>
  <c r="L574" i="21" s="1"/>
  <c r="H573" i="21" a="1"/>
  <c r="H573" i="21" s="1"/>
  <c r="F573" i="21" a="1"/>
  <c r="F573" i="21" s="1"/>
  <c r="K573" i="21" s="1"/>
  <c r="H572" i="21" a="1"/>
  <c r="H572" i="21" s="1"/>
  <c r="F572" i="21" a="1"/>
  <c r="F572" i="21" s="1"/>
  <c r="K572" i="21" s="1"/>
  <c r="L572" i="21" s="1"/>
  <c r="H571" i="21" a="1"/>
  <c r="H571" i="21" s="1"/>
  <c r="F571" i="21" a="1"/>
  <c r="F571" i="21" s="1"/>
  <c r="K571" i="21" s="1"/>
  <c r="H570" i="21" a="1"/>
  <c r="H570" i="21" s="1"/>
  <c r="F570" i="21" a="1"/>
  <c r="F570" i="21" s="1"/>
  <c r="K570" i="21" s="1"/>
  <c r="H569" i="21" a="1"/>
  <c r="H569" i="21" s="1"/>
  <c r="F569" i="21" a="1"/>
  <c r="F569" i="21" s="1"/>
  <c r="K569" i="21" s="1"/>
  <c r="L569" i="21" s="1"/>
  <c r="H568" i="21" a="1"/>
  <c r="H568" i="21" s="1"/>
  <c r="F568" i="21" a="1"/>
  <c r="F568" i="21" s="1"/>
  <c r="K568" i="21" s="1"/>
  <c r="H567" i="21" a="1"/>
  <c r="H567" i="21" s="1"/>
  <c r="F567" i="21" a="1"/>
  <c r="F567" i="21" s="1"/>
  <c r="K567" i="21" s="1"/>
  <c r="H566" i="21" a="1"/>
  <c r="H566" i="21" s="1"/>
  <c r="F566" i="21" a="1"/>
  <c r="F566" i="21" s="1"/>
  <c r="K566" i="21" s="1"/>
  <c r="H565" i="21" a="1"/>
  <c r="H565" i="21" s="1"/>
  <c r="F565" i="21" a="1"/>
  <c r="F565" i="21" s="1"/>
  <c r="K565" i="21" s="1"/>
  <c r="L565" i="21" s="1"/>
  <c r="H564" i="21" a="1"/>
  <c r="H564" i="21" s="1"/>
  <c r="F564" i="21" a="1"/>
  <c r="F564" i="21" s="1"/>
  <c r="K564" i="21" s="1"/>
  <c r="H563" i="21" a="1"/>
  <c r="H563" i="21" s="1"/>
  <c r="F563" i="21" a="1"/>
  <c r="F563" i="21" s="1"/>
  <c r="K563" i="21" s="1"/>
  <c r="L563" i="21" s="1"/>
  <c r="H562" i="21" a="1"/>
  <c r="H562" i="21" s="1"/>
  <c r="F562" i="21" a="1"/>
  <c r="F562" i="21" s="1"/>
  <c r="K562" i="21" s="1"/>
  <c r="H561" i="21" a="1"/>
  <c r="H561" i="21" s="1"/>
  <c r="F561" i="21" a="1"/>
  <c r="F561" i="21" s="1"/>
  <c r="K561" i="21" s="1"/>
  <c r="L561" i="21" s="1"/>
  <c r="H560" i="21" a="1"/>
  <c r="H560" i="21" s="1"/>
  <c r="F560" i="21" a="1"/>
  <c r="F560" i="21" s="1"/>
  <c r="K560" i="21" s="1"/>
  <c r="H559" i="21" a="1"/>
  <c r="H559" i="21" s="1"/>
  <c r="F559" i="21" a="1"/>
  <c r="F559" i="21" s="1"/>
  <c r="K559" i="21" s="1"/>
  <c r="H558" i="21" a="1"/>
  <c r="H558" i="21" s="1"/>
  <c r="F558" i="21" a="1"/>
  <c r="F558" i="21" s="1"/>
  <c r="K558" i="21" s="1"/>
  <c r="H557" i="21" a="1"/>
  <c r="H557" i="21" s="1"/>
  <c r="F557" i="21" a="1"/>
  <c r="F557" i="21" s="1"/>
  <c r="K557" i="21" s="1"/>
  <c r="L557" i="21" s="1"/>
  <c r="H556" i="21" a="1"/>
  <c r="H556" i="21" s="1"/>
  <c r="F556" i="21" a="1"/>
  <c r="F556" i="21" s="1"/>
  <c r="K556" i="21" s="1"/>
  <c r="L556" i="21" s="1"/>
  <c r="H555" i="21" a="1"/>
  <c r="H555" i="21" s="1"/>
  <c r="F555" i="21" a="1"/>
  <c r="F555" i="21" s="1"/>
  <c r="K555" i="21" s="1"/>
  <c r="L555" i="21" s="1"/>
  <c r="H554" i="21" a="1"/>
  <c r="H554" i="21" s="1"/>
  <c r="F554" i="21" a="1"/>
  <c r="F554" i="21" s="1"/>
  <c r="K554" i="21" s="1"/>
  <c r="L554" i="21" s="1"/>
  <c r="H553" i="21" a="1"/>
  <c r="H553" i="21" s="1"/>
  <c r="F553" i="21" a="1"/>
  <c r="F553" i="21" s="1"/>
  <c r="K553" i="21" s="1"/>
  <c r="L553" i="21" s="1"/>
  <c r="H552" i="21" a="1"/>
  <c r="H552" i="21" s="1"/>
  <c r="F552" i="21" a="1"/>
  <c r="F552" i="21" s="1"/>
  <c r="K552" i="21" s="1"/>
  <c r="L552" i="21" s="1"/>
  <c r="H551" i="21" a="1"/>
  <c r="H551" i="21" s="1"/>
  <c r="F551" i="21" a="1"/>
  <c r="F551" i="21" s="1"/>
  <c r="K551" i="21" s="1"/>
  <c r="L551" i="21" s="1"/>
  <c r="H550" i="21" a="1"/>
  <c r="H550" i="21" s="1"/>
  <c r="F550" i="21" a="1"/>
  <c r="F550" i="21" s="1"/>
  <c r="K550" i="21" s="1"/>
  <c r="L550" i="21" s="1"/>
  <c r="H549" i="21" a="1"/>
  <c r="H549" i="21" s="1"/>
  <c r="F549" i="21" a="1"/>
  <c r="F549" i="21" s="1"/>
  <c r="K549" i="21" s="1"/>
  <c r="L549" i="21" s="1"/>
  <c r="H548" i="21" a="1"/>
  <c r="H548" i="21" s="1"/>
  <c r="F548" i="21" a="1"/>
  <c r="F548" i="21" s="1"/>
  <c r="K548" i="21" s="1"/>
  <c r="L548" i="21" s="1"/>
  <c r="H547" i="21" a="1"/>
  <c r="H547" i="21" s="1"/>
  <c r="F547" i="21" a="1"/>
  <c r="F547" i="21" s="1"/>
  <c r="K547" i="21" s="1"/>
  <c r="L547" i="21" s="1"/>
  <c r="H546" i="21" a="1"/>
  <c r="H546" i="21" s="1"/>
  <c r="F546" i="21" a="1"/>
  <c r="F546" i="21" s="1"/>
  <c r="K546" i="21" s="1"/>
  <c r="L546" i="21" s="1"/>
  <c r="H545" i="21" a="1"/>
  <c r="H545" i="21" s="1"/>
  <c r="F545" i="21" a="1"/>
  <c r="F545" i="21" s="1"/>
  <c r="K545" i="21" s="1"/>
  <c r="L545" i="21" s="1"/>
  <c r="H544" i="21" a="1"/>
  <c r="H544" i="21" s="1"/>
  <c r="F544" i="21" a="1"/>
  <c r="F544" i="21" s="1"/>
  <c r="K544" i="21" s="1"/>
  <c r="L544" i="21" s="1"/>
  <c r="H543" i="21" a="1"/>
  <c r="H543" i="21" s="1"/>
  <c r="F543" i="21" a="1"/>
  <c r="F543" i="21" s="1"/>
  <c r="K543" i="21" s="1"/>
  <c r="L543" i="21" s="1"/>
  <c r="H542" i="21" a="1"/>
  <c r="H542" i="21" s="1"/>
  <c r="F542" i="21" a="1"/>
  <c r="F542" i="21" s="1"/>
  <c r="K542" i="21" s="1"/>
  <c r="L542" i="21" s="1"/>
  <c r="H541" i="21" a="1"/>
  <c r="H541" i="21" s="1"/>
  <c r="F541" i="21" a="1"/>
  <c r="F541" i="21" s="1"/>
  <c r="K541" i="21" s="1"/>
  <c r="L541" i="21" s="1"/>
  <c r="H540" i="21" a="1"/>
  <c r="H540" i="21" s="1"/>
  <c r="F540" i="21" a="1"/>
  <c r="F540" i="21" s="1"/>
  <c r="K540" i="21" s="1"/>
  <c r="H539" i="21" a="1"/>
  <c r="H539" i="21" s="1"/>
  <c r="F539" i="21" a="1"/>
  <c r="F539" i="21" s="1"/>
  <c r="K539" i="21" s="1"/>
  <c r="H538" i="21" a="1"/>
  <c r="H538" i="21" s="1"/>
  <c r="F538" i="21" a="1"/>
  <c r="F538" i="21" s="1"/>
  <c r="K538" i="21" s="1"/>
  <c r="L538" i="21" s="1"/>
  <c r="H537" i="21" a="1"/>
  <c r="H537" i="21" s="1"/>
  <c r="F537" i="21" a="1"/>
  <c r="F537" i="21" s="1"/>
  <c r="K537" i="21" s="1"/>
  <c r="L537" i="21" s="1"/>
  <c r="H536" i="21" a="1"/>
  <c r="H536" i="21" s="1"/>
  <c r="F536" i="21" a="1"/>
  <c r="F536" i="21" s="1"/>
  <c r="K536" i="21" s="1"/>
  <c r="L536" i="21" s="1"/>
  <c r="H535" i="21" a="1"/>
  <c r="H535" i="21" s="1"/>
  <c r="F535" i="21" a="1"/>
  <c r="F535" i="21" s="1"/>
  <c r="K535" i="21" s="1"/>
  <c r="L535" i="21" s="1"/>
  <c r="H534" i="21" a="1"/>
  <c r="H534" i="21" s="1"/>
  <c r="F534" i="21" a="1"/>
  <c r="F534" i="21" s="1"/>
  <c r="K534" i="21" s="1"/>
  <c r="L534" i="21" s="1"/>
  <c r="H533" i="21" a="1"/>
  <c r="H533" i="21" s="1"/>
  <c r="F533" i="21" a="1"/>
  <c r="F533" i="21" s="1"/>
  <c r="K533" i="21" s="1"/>
  <c r="L533" i="21" s="1"/>
  <c r="H532" i="21" a="1"/>
  <c r="H532" i="21" s="1"/>
  <c r="F532" i="21" a="1"/>
  <c r="F532" i="21" s="1"/>
  <c r="K532" i="21" s="1"/>
  <c r="L532" i="21" s="1"/>
  <c r="H531" i="21" a="1"/>
  <c r="H531" i="21" s="1"/>
  <c r="F531" i="21" a="1"/>
  <c r="F531" i="21" s="1"/>
  <c r="K531" i="21" s="1"/>
  <c r="L531" i="21" s="1"/>
  <c r="H530" i="21" a="1"/>
  <c r="H530" i="21" s="1"/>
  <c r="F530" i="21" a="1"/>
  <c r="F530" i="21" s="1"/>
  <c r="K530" i="21" s="1"/>
  <c r="L530" i="21" s="1"/>
  <c r="H529" i="21" a="1"/>
  <c r="H529" i="21" s="1"/>
  <c r="F529" i="21" a="1"/>
  <c r="F529" i="21" s="1"/>
  <c r="K529" i="21" s="1"/>
  <c r="L529" i="21" s="1"/>
  <c r="H528" i="21" a="1"/>
  <c r="H528" i="21" s="1"/>
  <c r="F528" i="21" a="1"/>
  <c r="F528" i="21" s="1"/>
  <c r="K528" i="21" s="1"/>
  <c r="L528" i="21" s="1"/>
  <c r="H527" i="21" a="1"/>
  <c r="H527" i="21" s="1"/>
  <c r="F527" i="21" a="1"/>
  <c r="F527" i="21" s="1"/>
  <c r="K527" i="21" s="1"/>
  <c r="L527" i="21" s="1"/>
  <c r="H526" i="21" a="1"/>
  <c r="H526" i="21" s="1"/>
  <c r="F526" i="21" a="1"/>
  <c r="F526" i="21" s="1"/>
  <c r="K526" i="21" s="1"/>
  <c r="L526" i="21" s="1"/>
  <c r="H525" i="21" a="1"/>
  <c r="H525" i="21" s="1"/>
  <c r="F525" i="21" a="1"/>
  <c r="F525" i="21" s="1"/>
  <c r="K525" i="21" s="1"/>
  <c r="L525" i="21" s="1"/>
  <c r="H524" i="21" a="1"/>
  <c r="H524" i="21" s="1"/>
  <c r="F524" i="21" a="1"/>
  <c r="F524" i="21" s="1"/>
  <c r="K524" i="21" s="1"/>
  <c r="L524" i="21" s="1"/>
  <c r="H523" i="21" a="1"/>
  <c r="H523" i="21" s="1"/>
  <c r="F523" i="21" a="1"/>
  <c r="F523" i="21" s="1"/>
  <c r="K523" i="21" s="1"/>
  <c r="L523" i="21" s="1"/>
  <c r="H522" i="21" a="1"/>
  <c r="H522" i="21" s="1"/>
  <c r="F522" i="21" a="1"/>
  <c r="F522" i="21" s="1"/>
  <c r="K522" i="21" s="1"/>
  <c r="L522" i="21" s="1"/>
  <c r="H521" i="21" a="1"/>
  <c r="H521" i="21" s="1"/>
  <c r="F521" i="21" a="1"/>
  <c r="F521" i="21" s="1"/>
  <c r="K521" i="21" s="1"/>
  <c r="L521" i="21" s="1"/>
  <c r="H520" i="21" a="1"/>
  <c r="H520" i="21" s="1"/>
  <c r="F520" i="21" a="1"/>
  <c r="F520" i="21" s="1"/>
  <c r="K520" i="21" s="1"/>
  <c r="H519" i="21" a="1"/>
  <c r="H519" i="21" s="1"/>
  <c r="F519" i="21" a="1"/>
  <c r="F519" i="21" s="1"/>
  <c r="K519" i="21" s="1"/>
  <c r="L519" i="21" s="1"/>
  <c r="H518" i="21" a="1"/>
  <c r="H518" i="21" s="1"/>
  <c r="F518" i="21" a="1"/>
  <c r="F518" i="21" s="1"/>
  <c r="K518" i="21" s="1"/>
  <c r="L518" i="21" s="1"/>
  <c r="H517" i="21" a="1"/>
  <c r="H517" i="21" s="1"/>
  <c r="F517" i="21" a="1"/>
  <c r="F517" i="21" s="1"/>
  <c r="K517" i="21" s="1"/>
  <c r="L517" i="21" s="1"/>
  <c r="H516" i="21" a="1"/>
  <c r="H516" i="21" s="1"/>
  <c r="F516" i="21" a="1"/>
  <c r="F516" i="21" s="1"/>
  <c r="K516" i="21" s="1"/>
  <c r="L516" i="21" s="1"/>
  <c r="H515" i="21" a="1"/>
  <c r="H515" i="21" s="1"/>
  <c r="F515" i="21" a="1"/>
  <c r="F515" i="21" s="1"/>
  <c r="K515" i="21" s="1"/>
  <c r="L515" i="21" s="1"/>
  <c r="H514" i="21" a="1"/>
  <c r="H514" i="21" s="1"/>
  <c r="F514" i="21" a="1"/>
  <c r="F514" i="21" s="1"/>
  <c r="K514" i="21" s="1"/>
  <c r="L514" i="21" s="1"/>
  <c r="H513" i="21" a="1"/>
  <c r="H513" i="21" s="1"/>
  <c r="F513" i="21" a="1"/>
  <c r="F513" i="21" s="1"/>
  <c r="K513" i="21" s="1"/>
  <c r="L513" i="21" s="1"/>
  <c r="H512" i="21" a="1"/>
  <c r="H512" i="21" s="1"/>
  <c r="F512" i="21" a="1"/>
  <c r="F512" i="21" s="1"/>
  <c r="K512" i="21" s="1"/>
  <c r="L512" i="21" s="1"/>
  <c r="H511" i="21" a="1"/>
  <c r="H511" i="21" s="1"/>
  <c r="F511" i="21" a="1"/>
  <c r="F511" i="21" s="1"/>
  <c r="K511" i="21" s="1"/>
  <c r="L511" i="21" s="1"/>
  <c r="H510" i="21" a="1"/>
  <c r="H510" i="21" s="1"/>
  <c r="F510" i="21" a="1"/>
  <c r="F510" i="21" s="1"/>
  <c r="K510" i="21" s="1"/>
  <c r="L510" i="21" s="1"/>
  <c r="H509" i="21" a="1"/>
  <c r="H509" i="21" s="1"/>
  <c r="F509" i="21" a="1"/>
  <c r="F509" i="21" s="1"/>
  <c r="K509" i="21" s="1"/>
  <c r="L509" i="21" s="1"/>
  <c r="H508" i="21" a="1"/>
  <c r="H508" i="21" s="1"/>
  <c r="F508" i="21" a="1"/>
  <c r="F508" i="21" s="1"/>
  <c r="K508" i="21" s="1"/>
  <c r="L508" i="21" s="1"/>
  <c r="H507" i="21" a="1"/>
  <c r="H507" i="21" s="1"/>
  <c r="F507" i="21" a="1"/>
  <c r="F507" i="21" s="1"/>
  <c r="K507" i="21" s="1"/>
  <c r="H506" i="21" a="1"/>
  <c r="H506" i="21" s="1"/>
  <c r="F506" i="21" a="1"/>
  <c r="F506" i="21" s="1"/>
  <c r="K506" i="21" s="1"/>
  <c r="L506" i="21" s="1"/>
  <c r="H505" i="21" a="1"/>
  <c r="H505" i="21" s="1"/>
  <c r="F505" i="21" a="1"/>
  <c r="F505" i="21" s="1"/>
  <c r="K505" i="21" s="1"/>
  <c r="L505" i="21" s="1"/>
  <c r="H504" i="21" a="1"/>
  <c r="H504" i="21" s="1"/>
  <c r="F504" i="21" a="1"/>
  <c r="F504" i="21" s="1"/>
  <c r="K504" i="21" s="1"/>
  <c r="L504" i="21" s="1"/>
  <c r="H503" i="21" a="1"/>
  <c r="H503" i="21" s="1"/>
  <c r="F503" i="21" a="1"/>
  <c r="F503" i="21" s="1"/>
  <c r="K503" i="21" s="1"/>
  <c r="L503" i="21" s="1"/>
  <c r="H502" i="21" a="1"/>
  <c r="H502" i="21" s="1"/>
  <c r="F502" i="21" a="1"/>
  <c r="F502" i="21" s="1"/>
  <c r="K502" i="21" s="1"/>
  <c r="L502" i="21" s="1"/>
  <c r="H501" i="21" a="1"/>
  <c r="H501" i="21" s="1"/>
  <c r="F501" i="21" a="1"/>
  <c r="F501" i="21" s="1"/>
  <c r="K501" i="21" s="1"/>
  <c r="L501" i="21" s="1"/>
  <c r="H500" i="21" a="1"/>
  <c r="H500" i="21" s="1"/>
  <c r="F500" i="21" a="1"/>
  <c r="F500" i="21" s="1"/>
  <c r="K500" i="21" s="1"/>
  <c r="L500" i="21" s="1"/>
  <c r="H499" i="21" a="1"/>
  <c r="H499" i="21" s="1"/>
  <c r="F499" i="21" a="1"/>
  <c r="F499" i="21" s="1"/>
  <c r="K499" i="21" s="1"/>
  <c r="L499" i="21" s="1"/>
  <c r="H498" i="21" a="1"/>
  <c r="H498" i="21" s="1"/>
  <c r="F498" i="21" a="1"/>
  <c r="F498" i="21" s="1"/>
  <c r="K498" i="21" s="1"/>
  <c r="L498" i="21" s="1"/>
  <c r="H497" i="21" a="1"/>
  <c r="H497" i="21" s="1"/>
  <c r="F497" i="21" a="1"/>
  <c r="F497" i="21" s="1"/>
  <c r="K497" i="21" s="1"/>
  <c r="L497" i="21" s="1"/>
  <c r="H496" i="21" a="1"/>
  <c r="H496" i="21" s="1"/>
  <c r="F496" i="21" a="1"/>
  <c r="F496" i="21" s="1"/>
  <c r="K496" i="21" s="1"/>
  <c r="L496" i="21" s="1"/>
  <c r="H495" i="21" a="1"/>
  <c r="H495" i="21" s="1"/>
  <c r="F495" i="21" a="1"/>
  <c r="F495" i="21" s="1"/>
  <c r="K495" i="21" s="1"/>
  <c r="H494" i="21" a="1"/>
  <c r="H494" i="21" s="1"/>
  <c r="F494" i="21" a="1"/>
  <c r="F494" i="21" s="1"/>
  <c r="K494" i="21" s="1"/>
  <c r="L494" i="21" s="1"/>
  <c r="H493" i="21" a="1"/>
  <c r="H493" i="21" s="1"/>
  <c r="F493" i="21" a="1"/>
  <c r="F493" i="21" s="1"/>
  <c r="K493" i="21" s="1"/>
  <c r="L493" i="21" s="1"/>
  <c r="H492" i="21" a="1"/>
  <c r="H492" i="21" s="1"/>
  <c r="F492" i="21" a="1"/>
  <c r="F492" i="21" s="1"/>
  <c r="K492" i="21" s="1"/>
  <c r="L492" i="21" s="1"/>
  <c r="H491" i="21" a="1"/>
  <c r="H491" i="21" s="1"/>
  <c r="F491" i="21" a="1"/>
  <c r="F491" i="21" s="1"/>
  <c r="K491" i="21" s="1"/>
  <c r="L491" i="21" s="1"/>
  <c r="H490" i="21" a="1"/>
  <c r="H490" i="21" s="1"/>
  <c r="F490" i="21" a="1"/>
  <c r="F490" i="21" s="1"/>
  <c r="K490" i="21" s="1"/>
  <c r="H489" i="21" a="1"/>
  <c r="H489" i="21" s="1"/>
  <c r="F489" i="21" a="1"/>
  <c r="F489" i="21" s="1"/>
  <c r="K489" i="21" s="1"/>
  <c r="L489" i="21" s="1"/>
  <c r="H488" i="21" a="1"/>
  <c r="H488" i="21" s="1"/>
  <c r="F488" i="21" a="1"/>
  <c r="F488" i="21" s="1"/>
  <c r="K488" i="21" s="1"/>
  <c r="L488" i="21" s="1"/>
  <c r="H487" i="21" a="1"/>
  <c r="H487" i="21" s="1"/>
  <c r="F487" i="21" a="1"/>
  <c r="F487" i="21" s="1"/>
  <c r="K487" i="21" s="1"/>
  <c r="L487" i="21" s="1"/>
  <c r="H486" i="21" a="1"/>
  <c r="H486" i="21" s="1"/>
  <c r="F486" i="21" a="1"/>
  <c r="F486" i="21" s="1"/>
  <c r="K486" i="21" s="1"/>
  <c r="L486" i="21" s="1"/>
  <c r="H485" i="21" a="1"/>
  <c r="H485" i="21" s="1"/>
  <c r="F485" i="21" a="1"/>
  <c r="F485" i="21" s="1"/>
  <c r="K485" i="21" s="1"/>
  <c r="L485" i="21" s="1"/>
  <c r="H484" i="21" a="1"/>
  <c r="H484" i="21" s="1"/>
  <c r="F484" i="21" a="1"/>
  <c r="F484" i="21" s="1"/>
  <c r="K484" i="21" s="1"/>
  <c r="L484" i="21" s="1"/>
  <c r="H483" i="21" a="1"/>
  <c r="H483" i="21" s="1"/>
  <c r="F483" i="21" a="1"/>
  <c r="F483" i="21" s="1"/>
  <c r="K483" i="21" s="1"/>
  <c r="L483" i="21" s="1"/>
  <c r="H482" i="21" a="1"/>
  <c r="H482" i="21" s="1"/>
  <c r="F482" i="21" a="1"/>
  <c r="F482" i="21" s="1"/>
  <c r="K482" i="21" s="1"/>
  <c r="L482" i="21" s="1"/>
  <c r="H481" i="21" a="1"/>
  <c r="H481" i="21" s="1"/>
  <c r="F481" i="21" a="1"/>
  <c r="F481" i="21" s="1"/>
  <c r="K481" i="21" s="1"/>
  <c r="L481" i="21" s="1"/>
  <c r="H480" i="21" a="1"/>
  <c r="H480" i="21" s="1"/>
  <c r="F480" i="21" a="1"/>
  <c r="F480" i="21" s="1"/>
  <c r="K480" i="21" s="1"/>
  <c r="L480" i="21" s="1"/>
  <c r="H479" i="21" a="1"/>
  <c r="H479" i="21" s="1"/>
  <c r="F479" i="21" a="1"/>
  <c r="F479" i="21" s="1"/>
  <c r="K479" i="21" s="1"/>
  <c r="L479" i="21" s="1"/>
  <c r="H478" i="21" a="1"/>
  <c r="H478" i="21" s="1"/>
  <c r="F478" i="21" a="1"/>
  <c r="F478" i="21" s="1"/>
  <c r="K478" i="21" s="1"/>
  <c r="L478" i="21" s="1"/>
  <c r="H477" i="21" a="1"/>
  <c r="H477" i="21" s="1"/>
  <c r="F477" i="21" a="1"/>
  <c r="F477" i="21" s="1"/>
  <c r="K477" i="21" s="1"/>
  <c r="L477" i="21" s="1"/>
  <c r="H476" i="21" a="1"/>
  <c r="H476" i="21" s="1"/>
  <c r="F476" i="21" a="1"/>
  <c r="F476" i="21" s="1"/>
  <c r="K476" i="21" s="1"/>
  <c r="L476" i="21" s="1"/>
  <c r="H475" i="21" a="1"/>
  <c r="H475" i="21" s="1"/>
  <c r="F475" i="21" a="1"/>
  <c r="F475" i="21" s="1"/>
  <c r="K475" i="21" s="1"/>
  <c r="L475" i="21" s="1"/>
  <c r="H474" i="21" a="1"/>
  <c r="H474" i="21" s="1"/>
  <c r="F474" i="21" a="1"/>
  <c r="F474" i="21" s="1"/>
  <c r="K474" i="21" s="1"/>
  <c r="L474" i="21" s="1"/>
  <c r="H473" i="21" a="1"/>
  <c r="H473" i="21" s="1"/>
  <c r="F473" i="21" a="1"/>
  <c r="F473" i="21" s="1"/>
  <c r="K473" i="21" s="1"/>
  <c r="L473" i="21" s="1"/>
  <c r="H472" i="21" a="1"/>
  <c r="H472" i="21" s="1"/>
  <c r="F472" i="21" a="1"/>
  <c r="F472" i="21" s="1"/>
  <c r="K472" i="21" s="1"/>
  <c r="L472" i="21" s="1"/>
  <c r="H471" i="21" a="1"/>
  <c r="H471" i="21" s="1"/>
  <c r="F471" i="21" a="1"/>
  <c r="F471" i="21" s="1"/>
  <c r="K471" i="21" s="1"/>
  <c r="L471" i="21" s="1"/>
  <c r="H470" i="21" a="1"/>
  <c r="H470" i="21" s="1"/>
  <c r="F470" i="21" a="1"/>
  <c r="F470" i="21" s="1"/>
  <c r="K470" i="21" s="1"/>
  <c r="L470" i="21" s="1"/>
  <c r="H469" i="21" a="1"/>
  <c r="H469" i="21" s="1"/>
  <c r="F469" i="21" a="1"/>
  <c r="F469" i="21" s="1"/>
  <c r="K469" i="21" s="1"/>
  <c r="L469" i="21" s="1"/>
  <c r="H468" i="21" a="1"/>
  <c r="H468" i="21" s="1"/>
  <c r="F468" i="21" a="1"/>
  <c r="F468" i="21" s="1"/>
  <c r="K468" i="21" s="1"/>
  <c r="L468" i="21" s="1"/>
  <c r="H467" i="21" a="1"/>
  <c r="H467" i="21" s="1"/>
  <c r="F467" i="21" a="1"/>
  <c r="F467" i="21" s="1"/>
  <c r="K467" i="21" s="1"/>
  <c r="L467" i="21" s="1"/>
  <c r="H466" i="21" a="1"/>
  <c r="H466" i="21" s="1"/>
  <c r="F466" i="21" a="1"/>
  <c r="F466" i="21" s="1"/>
  <c r="K466" i="21" s="1"/>
  <c r="L466" i="21" s="1"/>
  <c r="H465" i="21" a="1"/>
  <c r="H465" i="21" s="1"/>
  <c r="F465" i="21" a="1"/>
  <c r="F465" i="21" s="1"/>
  <c r="K465" i="21" s="1"/>
  <c r="H464" i="21" a="1"/>
  <c r="H464" i="21" s="1"/>
  <c r="F464" i="21" a="1"/>
  <c r="F464" i="21" s="1"/>
  <c r="K464" i="21" s="1"/>
  <c r="H463" i="21" a="1"/>
  <c r="H463" i="21" s="1"/>
  <c r="F463" i="21" a="1"/>
  <c r="F463" i="21" s="1"/>
  <c r="K463" i="21" s="1"/>
  <c r="L463" i="21" s="1"/>
  <c r="H462" i="21" a="1"/>
  <c r="H462" i="21" s="1"/>
  <c r="F462" i="21" a="1"/>
  <c r="F462" i="21" s="1"/>
  <c r="K462" i="21" s="1"/>
  <c r="L462" i="21" s="1"/>
  <c r="H461" i="21" a="1"/>
  <c r="H461" i="21" s="1"/>
  <c r="F461" i="21" a="1"/>
  <c r="F461" i="21" s="1"/>
  <c r="K461" i="21" s="1"/>
  <c r="L461" i="21" s="1"/>
  <c r="H460" i="21" a="1"/>
  <c r="H460" i="21" s="1"/>
  <c r="F460" i="21" a="1"/>
  <c r="F460" i="21" s="1"/>
  <c r="K460" i="21" s="1"/>
  <c r="L460" i="21" s="1"/>
  <c r="H459" i="21" a="1"/>
  <c r="H459" i="21" s="1"/>
  <c r="F459" i="21" a="1"/>
  <c r="F459" i="21" s="1"/>
  <c r="K459" i="21" s="1"/>
  <c r="L459" i="21" s="1"/>
  <c r="H458" i="21" a="1"/>
  <c r="H458" i="21" s="1"/>
  <c r="F458" i="21" a="1"/>
  <c r="F458" i="21" s="1"/>
  <c r="K458" i="21" s="1"/>
  <c r="L458" i="21" s="1"/>
  <c r="H457" i="21" a="1"/>
  <c r="H457" i="21" s="1"/>
  <c r="F457" i="21" a="1"/>
  <c r="F457" i="21" s="1"/>
  <c r="K457" i="21" s="1"/>
  <c r="L457" i="21" s="1"/>
  <c r="H456" i="21" a="1"/>
  <c r="H456" i="21" s="1"/>
  <c r="F456" i="21" a="1"/>
  <c r="F456" i="21" s="1"/>
  <c r="K456" i="21" s="1"/>
  <c r="L456" i="21" s="1"/>
  <c r="H455" i="21" a="1"/>
  <c r="H455" i="21" s="1"/>
  <c r="F455" i="21" a="1"/>
  <c r="F455" i="21" s="1"/>
  <c r="K455" i="21" s="1"/>
  <c r="L455" i="21" s="1"/>
  <c r="H454" i="21" a="1"/>
  <c r="H454" i="21" s="1"/>
  <c r="F454" i="21" a="1"/>
  <c r="F454" i="21" s="1"/>
  <c r="K454" i="21" s="1"/>
  <c r="L454" i="21" s="1"/>
  <c r="H453" i="21" a="1"/>
  <c r="H453" i="21" s="1"/>
  <c r="F453" i="21" a="1"/>
  <c r="F453" i="21" s="1"/>
  <c r="K453" i="21" s="1"/>
  <c r="H452" i="21" a="1"/>
  <c r="H452" i="21" s="1"/>
  <c r="F452" i="21" a="1"/>
  <c r="F452" i="21" s="1"/>
  <c r="K452" i="21" s="1"/>
  <c r="L452" i="21" s="1"/>
  <c r="H451" i="21" a="1"/>
  <c r="H451" i="21" s="1"/>
  <c r="F451" i="21" a="1"/>
  <c r="F451" i="21" s="1"/>
  <c r="K451" i="21" s="1"/>
  <c r="L451" i="21" s="1"/>
  <c r="H450" i="21" a="1"/>
  <c r="H450" i="21" s="1"/>
  <c r="F450" i="21" a="1"/>
  <c r="F450" i="21" s="1"/>
  <c r="K450" i="21" s="1"/>
  <c r="L450" i="21" s="1"/>
  <c r="H449" i="21" a="1"/>
  <c r="H449" i="21" s="1"/>
  <c r="F449" i="21" a="1"/>
  <c r="F449" i="21" s="1"/>
  <c r="K449" i="21" s="1"/>
  <c r="H448" i="21" a="1"/>
  <c r="H448" i="21" s="1"/>
  <c r="F448" i="21" a="1"/>
  <c r="F448" i="21" s="1"/>
  <c r="K448" i="21" s="1"/>
  <c r="H447" i="21" a="1"/>
  <c r="H447" i="21" s="1"/>
  <c r="F447" i="21" a="1"/>
  <c r="F447" i="21" s="1"/>
  <c r="K447" i="21" s="1"/>
  <c r="L447" i="21" s="1"/>
  <c r="H446" i="21" a="1"/>
  <c r="H446" i="21" s="1"/>
  <c r="F446" i="21" a="1"/>
  <c r="F446" i="21" s="1"/>
  <c r="K446" i="21" s="1"/>
  <c r="L446" i="21" s="1"/>
  <c r="H445" i="21" a="1"/>
  <c r="H445" i="21" s="1"/>
  <c r="F445" i="21" a="1"/>
  <c r="F445" i="21" s="1"/>
  <c r="K445" i="21" s="1"/>
  <c r="L445" i="21" s="1"/>
  <c r="H444" i="21" a="1"/>
  <c r="H444" i="21" s="1"/>
  <c r="F444" i="21" a="1"/>
  <c r="F444" i="21" s="1"/>
  <c r="K444" i="21" s="1"/>
  <c r="L444" i="21" s="1"/>
  <c r="H443" i="21" a="1"/>
  <c r="H443" i="21" s="1"/>
  <c r="F443" i="21" a="1"/>
  <c r="F443" i="21" s="1"/>
  <c r="K443" i="21" s="1"/>
  <c r="L443" i="21" s="1"/>
  <c r="H442" i="21" a="1"/>
  <c r="H442" i="21" s="1"/>
  <c r="F442" i="21" a="1"/>
  <c r="F442" i="21" s="1"/>
  <c r="K442" i="21" s="1"/>
  <c r="L442" i="21" s="1"/>
  <c r="H441" i="21" a="1"/>
  <c r="H441" i="21" s="1"/>
  <c r="F441" i="21" a="1"/>
  <c r="F441" i="21" s="1"/>
  <c r="K441" i="21" s="1"/>
  <c r="L441" i="21" s="1"/>
  <c r="H440" i="21" a="1"/>
  <c r="H440" i="21" s="1"/>
  <c r="F440" i="21" a="1"/>
  <c r="F440" i="21" s="1"/>
  <c r="K440" i="21" s="1"/>
  <c r="L440" i="21" s="1"/>
  <c r="H439" i="21" a="1"/>
  <c r="H439" i="21" s="1"/>
  <c r="F439" i="21" a="1"/>
  <c r="F439" i="21" s="1"/>
  <c r="K439" i="21" s="1"/>
  <c r="H438" i="21" a="1"/>
  <c r="H438" i="21" s="1"/>
  <c r="F438" i="21" a="1"/>
  <c r="F438" i="21" s="1"/>
  <c r="K438" i="21" s="1"/>
  <c r="H437" i="21" a="1"/>
  <c r="H437" i="21" s="1"/>
  <c r="F437" i="21" a="1"/>
  <c r="F437" i="21" s="1"/>
  <c r="K437" i="21" s="1"/>
  <c r="L437" i="21" s="1"/>
  <c r="H436" i="21" a="1"/>
  <c r="H436" i="21" s="1"/>
  <c r="F436" i="21" a="1"/>
  <c r="F436" i="21" s="1"/>
  <c r="K436" i="21" s="1"/>
  <c r="L436" i="21" s="1"/>
  <c r="H435" i="21" a="1"/>
  <c r="H435" i="21" s="1"/>
  <c r="F435" i="21" a="1"/>
  <c r="F435" i="21" s="1"/>
  <c r="K435" i="21" s="1"/>
  <c r="L435" i="21" s="1"/>
  <c r="H434" i="21" a="1"/>
  <c r="H434" i="21" s="1"/>
  <c r="F434" i="21" a="1"/>
  <c r="F434" i="21" s="1"/>
  <c r="K434" i="21" s="1"/>
  <c r="L434" i="21" s="1"/>
  <c r="H433" i="21" a="1"/>
  <c r="H433" i="21" s="1"/>
  <c r="F433" i="21" a="1"/>
  <c r="F433" i="21" s="1"/>
  <c r="K433" i="21" s="1"/>
  <c r="L433" i="21" s="1"/>
  <c r="H432" i="21" a="1"/>
  <c r="H432" i="21" s="1"/>
  <c r="F432" i="21" a="1"/>
  <c r="F432" i="21" s="1"/>
  <c r="K432" i="21" s="1"/>
  <c r="L432" i="21" s="1"/>
  <c r="H431" i="21" a="1"/>
  <c r="H431" i="21" s="1"/>
  <c r="F431" i="21" a="1"/>
  <c r="F431" i="21" s="1"/>
  <c r="K431" i="21" s="1"/>
  <c r="L431" i="21" s="1"/>
  <c r="H430" i="21" a="1"/>
  <c r="H430" i="21" s="1"/>
  <c r="F430" i="21" a="1"/>
  <c r="F430" i="21" s="1"/>
  <c r="K430" i="21" s="1"/>
  <c r="H429" i="21" a="1"/>
  <c r="H429" i="21" s="1"/>
  <c r="F429" i="21" a="1"/>
  <c r="F429" i="21" s="1"/>
  <c r="K429" i="21" s="1"/>
  <c r="H428" i="21" a="1"/>
  <c r="H428" i="21" s="1"/>
  <c r="F428" i="21" a="1"/>
  <c r="F428" i="21" s="1"/>
  <c r="K428" i="21" s="1"/>
  <c r="L428" i="21" s="1"/>
  <c r="H427" i="21" a="1"/>
  <c r="H427" i="21" s="1"/>
  <c r="F427" i="21" a="1"/>
  <c r="F427" i="21" s="1"/>
  <c r="K427" i="21" s="1"/>
  <c r="H426" i="21" a="1"/>
  <c r="H426" i="21" s="1"/>
  <c r="F426" i="21" a="1"/>
  <c r="F426" i="21" s="1"/>
  <c r="K426" i="21" s="1"/>
  <c r="L426" i="21" s="1"/>
  <c r="H425" i="21" a="1"/>
  <c r="H425" i="21" s="1"/>
  <c r="F425" i="21" a="1"/>
  <c r="F425" i="21" s="1"/>
  <c r="K425" i="21" s="1"/>
  <c r="L425" i="21" s="1"/>
  <c r="H424" i="21" a="1"/>
  <c r="H424" i="21" s="1"/>
  <c r="F424" i="21" a="1"/>
  <c r="F424" i="21" s="1"/>
  <c r="K424" i="21" s="1"/>
  <c r="L424" i="21" s="1"/>
  <c r="H423" i="21" a="1"/>
  <c r="H423" i="21" s="1"/>
  <c r="F423" i="21" a="1"/>
  <c r="F423" i="21" s="1"/>
  <c r="K423" i="21" s="1"/>
  <c r="L423" i="21" s="1"/>
  <c r="H422" i="21" a="1"/>
  <c r="H422" i="21" s="1"/>
  <c r="F422" i="21" a="1"/>
  <c r="F422" i="21" s="1"/>
  <c r="K422" i="21" s="1"/>
  <c r="L422" i="21" s="1"/>
  <c r="H421" i="21" a="1"/>
  <c r="H421" i="21" s="1"/>
  <c r="F421" i="21" a="1"/>
  <c r="F421" i="21" s="1"/>
  <c r="K421" i="21" s="1"/>
  <c r="H420" i="21" a="1"/>
  <c r="H420" i="21" s="1"/>
  <c r="F420" i="21" a="1"/>
  <c r="F420" i="21" s="1"/>
  <c r="K420" i="21" s="1"/>
  <c r="L420" i="21" s="1"/>
  <c r="H419" i="21" a="1"/>
  <c r="H419" i="21" s="1"/>
  <c r="F419" i="21" a="1"/>
  <c r="F419" i="21" s="1"/>
  <c r="K419" i="21" s="1"/>
  <c r="H418" i="21" a="1"/>
  <c r="H418" i="21" s="1"/>
  <c r="F418" i="21" a="1"/>
  <c r="F418" i="21" s="1"/>
  <c r="K418" i="21" s="1"/>
  <c r="L418" i="21" s="1"/>
  <c r="H417" i="21" a="1"/>
  <c r="H417" i="21" s="1"/>
  <c r="F417" i="21" a="1"/>
  <c r="F417" i="21" s="1"/>
  <c r="K417" i="21" s="1"/>
  <c r="H416" i="21" a="1"/>
  <c r="H416" i="21" s="1"/>
  <c r="F416" i="21" a="1"/>
  <c r="F416" i="21" s="1"/>
  <c r="K416" i="21" s="1"/>
  <c r="H415" i="21" a="1"/>
  <c r="H415" i="21" s="1"/>
  <c r="F415" i="21" a="1"/>
  <c r="F415" i="21" s="1"/>
  <c r="K415" i="21" s="1"/>
  <c r="L415" i="21" s="1"/>
  <c r="H414" i="21" a="1"/>
  <c r="H414" i="21" s="1"/>
  <c r="F414" i="21" a="1"/>
  <c r="F414" i="21" s="1"/>
  <c r="K414" i="21" s="1"/>
  <c r="L414" i="21" s="1"/>
  <c r="H413" i="21" a="1"/>
  <c r="H413" i="21" s="1"/>
  <c r="F413" i="21" a="1"/>
  <c r="F413" i="21" s="1"/>
  <c r="K413" i="21" s="1"/>
  <c r="L413" i="21" s="1"/>
  <c r="H412" i="21" a="1"/>
  <c r="H412" i="21" s="1"/>
  <c r="F412" i="21" a="1"/>
  <c r="F412" i="21" s="1"/>
  <c r="K412" i="21" s="1"/>
  <c r="L412" i="21" s="1"/>
  <c r="H411" i="21" a="1"/>
  <c r="H411" i="21" s="1"/>
  <c r="F411" i="21" a="1"/>
  <c r="F411" i="21" s="1"/>
  <c r="K411" i="21" s="1"/>
  <c r="L411" i="21" s="1"/>
  <c r="H410" i="21" a="1"/>
  <c r="H410" i="21" s="1"/>
  <c r="F410" i="21" a="1"/>
  <c r="F410" i="21" s="1"/>
  <c r="K410" i="21" s="1"/>
  <c r="H409" i="21" a="1"/>
  <c r="H409" i="21" s="1"/>
  <c r="F409" i="21" a="1"/>
  <c r="F409" i="21" s="1"/>
  <c r="K409" i="21" s="1"/>
  <c r="L409" i="21" s="1"/>
  <c r="H408" i="21" a="1"/>
  <c r="H408" i="21" s="1"/>
  <c r="F408" i="21" a="1"/>
  <c r="F408" i="21" s="1"/>
  <c r="K408" i="21" s="1"/>
  <c r="L408" i="21" s="1"/>
  <c r="H407" i="21" a="1"/>
  <c r="H407" i="21" s="1"/>
  <c r="F407" i="21" a="1"/>
  <c r="F407" i="21" s="1"/>
  <c r="K407" i="21" s="1"/>
  <c r="L407" i="21" s="1"/>
  <c r="H406" i="21" a="1"/>
  <c r="H406" i="21" s="1"/>
  <c r="F406" i="21" a="1"/>
  <c r="F406" i="21" s="1"/>
  <c r="K406" i="21" s="1"/>
  <c r="L406" i="21" s="1"/>
  <c r="H405" i="21" a="1"/>
  <c r="H405" i="21" s="1"/>
  <c r="F405" i="21" a="1"/>
  <c r="F405" i="21" s="1"/>
  <c r="K405" i="21" s="1"/>
  <c r="H404" i="21" a="1"/>
  <c r="H404" i="21" s="1"/>
  <c r="F404" i="21" a="1"/>
  <c r="F404" i="21" s="1"/>
  <c r="K404" i="21" s="1"/>
  <c r="L404" i="21" s="1"/>
  <c r="H403" i="21" a="1"/>
  <c r="H403" i="21" s="1"/>
  <c r="F403" i="21" a="1"/>
  <c r="F403" i="21" s="1"/>
  <c r="K403" i="21" s="1"/>
  <c r="L403" i="21" s="1"/>
  <c r="H402" i="21" a="1"/>
  <c r="H402" i="21" s="1"/>
  <c r="F402" i="21" a="1"/>
  <c r="F402" i="21" s="1"/>
  <c r="K402" i="21" s="1"/>
  <c r="L402" i="21" s="1"/>
  <c r="H401" i="21" a="1"/>
  <c r="H401" i="21" s="1"/>
  <c r="F401" i="21" a="1"/>
  <c r="F401" i="21" s="1"/>
  <c r="K401" i="21" s="1"/>
  <c r="L401" i="21" s="1"/>
  <c r="H400" i="21" a="1"/>
  <c r="H400" i="21" s="1"/>
  <c r="F400" i="21" a="1"/>
  <c r="F400" i="21" s="1"/>
  <c r="K400" i="21" s="1"/>
  <c r="L400" i="21" s="1"/>
  <c r="H399" i="21" a="1"/>
  <c r="H399" i="21" s="1"/>
  <c r="F399" i="21" a="1"/>
  <c r="F399" i="21" s="1"/>
  <c r="K399" i="21" s="1"/>
  <c r="H398" i="21" a="1"/>
  <c r="H398" i="21" s="1"/>
  <c r="F398" i="21" a="1"/>
  <c r="F398" i="21" s="1"/>
  <c r="K398" i="21" s="1"/>
  <c r="L398" i="21" s="1"/>
  <c r="H397" i="21" a="1"/>
  <c r="H397" i="21" s="1"/>
  <c r="F397" i="21" a="1"/>
  <c r="F397" i="21" s="1"/>
  <c r="K397" i="21" s="1"/>
  <c r="L397" i="21" s="1"/>
  <c r="H396" i="21" a="1"/>
  <c r="H396" i="21" s="1"/>
  <c r="F396" i="21" a="1"/>
  <c r="F396" i="21" s="1"/>
  <c r="K396" i="21" s="1"/>
  <c r="L396" i="21" s="1"/>
  <c r="H395" i="21" a="1"/>
  <c r="H395" i="21" s="1"/>
  <c r="F395" i="21" a="1"/>
  <c r="F395" i="21" s="1"/>
  <c r="K395" i="21" s="1"/>
  <c r="L395" i="21" s="1"/>
  <c r="H394" i="21" a="1"/>
  <c r="H394" i="21" s="1"/>
  <c r="F394" i="21" a="1"/>
  <c r="F394" i="21" s="1"/>
  <c r="K394" i="21" s="1"/>
  <c r="L394" i="21" s="1"/>
  <c r="H393" i="21" a="1"/>
  <c r="H393" i="21" s="1"/>
  <c r="F393" i="21" a="1"/>
  <c r="F393" i="21" s="1"/>
  <c r="K393" i="21" s="1"/>
  <c r="H392" i="21" a="1"/>
  <c r="H392" i="21" s="1"/>
  <c r="F392" i="21" a="1"/>
  <c r="F392" i="21" s="1"/>
  <c r="K392" i="21" s="1"/>
  <c r="H391" i="21" a="1"/>
  <c r="H391" i="21" s="1"/>
  <c r="F391" i="21" a="1"/>
  <c r="F391" i="21" s="1"/>
  <c r="K391" i="21" s="1"/>
  <c r="L391" i="21" s="1"/>
  <c r="H390" i="21" a="1"/>
  <c r="H390" i="21" s="1"/>
  <c r="F390" i="21" a="1"/>
  <c r="F390" i="21" s="1"/>
  <c r="K390" i="21" s="1"/>
  <c r="L390" i="21" s="1"/>
  <c r="H389" i="21" a="1"/>
  <c r="H389" i="21" s="1"/>
  <c r="F389" i="21" a="1"/>
  <c r="F389" i="21" s="1"/>
  <c r="K389" i="21" s="1"/>
  <c r="L389" i="21" s="1"/>
  <c r="H388" i="21" a="1"/>
  <c r="H388" i="21" s="1"/>
  <c r="F388" i="21" a="1"/>
  <c r="F388" i="21" s="1"/>
  <c r="K388" i="21" s="1"/>
  <c r="H387" i="21" a="1"/>
  <c r="H387" i="21" s="1"/>
  <c r="F387" i="21" a="1"/>
  <c r="F387" i="21" s="1"/>
  <c r="K387" i="21" s="1"/>
  <c r="L387" i="21" s="1"/>
  <c r="H386" i="21" a="1"/>
  <c r="H386" i="21" s="1"/>
  <c r="F386" i="21" a="1"/>
  <c r="F386" i="21" s="1"/>
  <c r="K386" i="21" s="1"/>
  <c r="H385" i="21" a="1"/>
  <c r="H385" i="21" s="1"/>
  <c r="F385" i="21" a="1"/>
  <c r="F385" i="21" s="1"/>
  <c r="K385" i="21" s="1"/>
  <c r="L385" i="21" s="1"/>
  <c r="H384" i="21" a="1"/>
  <c r="H384" i="21" s="1"/>
  <c r="F384" i="21" a="1"/>
  <c r="F384" i="21" s="1"/>
  <c r="K384" i="21" s="1"/>
  <c r="H383" i="21" a="1"/>
  <c r="H383" i="21" s="1"/>
  <c r="F383" i="21" a="1"/>
  <c r="F383" i="21" s="1"/>
  <c r="K383" i="21" s="1"/>
  <c r="L383" i="21" s="1"/>
  <c r="H382" i="21" a="1"/>
  <c r="H382" i="21" s="1"/>
  <c r="F382" i="21" a="1"/>
  <c r="F382" i="21" s="1"/>
  <c r="K382" i="21" s="1"/>
  <c r="L382" i="21" s="1"/>
  <c r="H381" i="21" a="1"/>
  <c r="H381" i="21" s="1"/>
  <c r="F381" i="21" a="1"/>
  <c r="F381" i="21" s="1"/>
  <c r="K381" i="21" s="1"/>
  <c r="H380" i="21" a="1"/>
  <c r="H380" i="21" s="1"/>
  <c r="F380" i="21" a="1"/>
  <c r="F380" i="21" s="1"/>
  <c r="K380" i="21" s="1"/>
  <c r="L380" i="21" s="1"/>
  <c r="H379" i="21" a="1"/>
  <c r="H379" i="21" s="1"/>
  <c r="F379" i="21" a="1"/>
  <c r="F379" i="21" s="1"/>
  <c r="K379" i="21" s="1"/>
  <c r="H378" i="21" a="1"/>
  <c r="H378" i="21" s="1"/>
  <c r="F378" i="21" a="1"/>
  <c r="F378" i="21" s="1"/>
  <c r="K378" i="21" s="1"/>
  <c r="L378" i="21" s="1"/>
  <c r="H377" i="21" a="1"/>
  <c r="H377" i="21" s="1"/>
  <c r="F377" i="21" a="1"/>
  <c r="F377" i="21" s="1"/>
  <c r="K377" i="21" s="1"/>
  <c r="H376" i="21" a="1"/>
  <c r="H376" i="21" s="1"/>
  <c r="F376" i="21" a="1"/>
  <c r="F376" i="21" s="1"/>
  <c r="K376" i="21" s="1"/>
  <c r="L376" i="21" s="1"/>
  <c r="H375" i="21" a="1"/>
  <c r="H375" i="21" s="1"/>
  <c r="F375" i="21" a="1"/>
  <c r="F375" i="21" s="1"/>
  <c r="K375" i="21" s="1"/>
  <c r="H374" i="21" a="1"/>
  <c r="H374" i="21" s="1"/>
  <c r="F374" i="21" a="1"/>
  <c r="F374" i="21" s="1"/>
  <c r="K374" i="21" s="1"/>
  <c r="H373" i="21" a="1"/>
  <c r="H373" i="21" s="1"/>
  <c r="F373" i="21" a="1"/>
  <c r="F373" i="21" s="1"/>
  <c r="K373" i="21" s="1"/>
  <c r="L373" i="21" s="1"/>
  <c r="H372" i="21" a="1"/>
  <c r="H372" i="21" s="1"/>
  <c r="F372" i="21" a="1"/>
  <c r="F372" i="21" s="1"/>
  <c r="K372" i="21" s="1"/>
  <c r="H371" i="21" a="1"/>
  <c r="H371" i="21" s="1"/>
  <c r="F371" i="21" a="1"/>
  <c r="F371" i="21" s="1"/>
  <c r="K371" i="21" s="1"/>
  <c r="H370" i="21" a="1"/>
  <c r="H370" i="21" s="1"/>
  <c r="F370" i="21" a="1"/>
  <c r="F370" i="21" s="1"/>
  <c r="K370" i="21" s="1"/>
  <c r="H369" i="21" a="1"/>
  <c r="H369" i="21" s="1"/>
  <c r="F369" i="21" a="1"/>
  <c r="F369" i="21" s="1"/>
  <c r="K369" i="21" s="1"/>
  <c r="L369" i="21" s="1"/>
  <c r="H368" i="21" a="1"/>
  <c r="H368" i="21" s="1"/>
  <c r="F368" i="21" a="1"/>
  <c r="F368" i="21" s="1"/>
  <c r="K368" i="21" s="1"/>
  <c r="H367" i="21" a="1"/>
  <c r="H367" i="21" s="1"/>
  <c r="F367" i="21" a="1"/>
  <c r="F367" i="21" s="1"/>
  <c r="K367" i="21" s="1"/>
  <c r="H366" i="21" a="1"/>
  <c r="H366" i="21" s="1"/>
  <c r="F366" i="21" a="1"/>
  <c r="F366" i="21" s="1"/>
  <c r="K366" i="21" s="1"/>
  <c r="H365" i="21" a="1"/>
  <c r="H365" i="21" s="1"/>
  <c r="F365" i="21" a="1"/>
  <c r="F365" i="21" s="1"/>
  <c r="K365" i="21" s="1"/>
  <c r="L365" i="21" s="1"/>
  <c r="H364" i="21" a="1"/>
  <c r="H364" i="21" s="1"/>
  <c r="F364" i="21" a="1"/>
  <c r="F364" i="21" s="1"/>
  <c r="K364" i="21" s="1"/>
  <c r="H363" i="21" a="1"/>
  <c r="H363" i="21" s="1"/>
  <c r="F363" i="21" a="1"/>
  <c r="F363" i="21" s="1"/>
  <c r="K363" i="21" s="1"/>
  <c r="H362" i="21" a="1"/>
  <c r="H362" i="21" s="1"/>
  <c r="F362" i="21" a="1"/>
  <c r="F362" i="21" s="1"/>
  <c r="K362" i="21" s="1"/>
  <c r="H361" i="21" a="1"/>
  <c r="H361" i="21" s="1"/>
  <c r="F361" i="21" a="1"/>
  <c r="F361" i="21" s="1"/>
  <c r="K361" i="21" s="1"/>
  <c r="H360" i="21" a="1"/>
  <c r="H360" i="21" s="1"/>
  <c r="F360" i="21" a="1"/>
  <c r="F360" i="21" s="1"/>
  <c r="K360" i="21" s="1"/>
  <c r="H359" i="21" a="1"/>
  <c r="H359" i="21" s="1"/>
  <c r="F359" i="21" a="1"/>
  <c r="F359" i="21" s="1"/>
  <c r="K359" i="21" s="1"/>
  <c r="H358" i="21" a="1"/>
  <c r="H358" i="21" s="1"/>
  <c r="F358" i="21" a="1"/>
  <c r="F358" i="21" s="1"/>
  <c r="K358" i="21" s="1"/>
  <c r="H357" i="21" a="1"/>
  <c r="H357" i="21" s="1"/>
  <c r="F357" i="21" a="1"/>
  <c r="F357" i="21" s="1"/>
  <c r="K357" i="21" s="1"/>
  <c r="H356" i="21" a="1"/>
  <c r="H356" i="21" s="1"/>
  <c r="F356" i="21" a="1"/>
  <c r="F356" i="21" s="1"/>
  <c r="K356" i="21" s="1"/>
  <c r="H355" i="21" a="1"/>
  <c r="H355" i="21" s="1"/>
  <c r="F355" i="21" a="1"/>
  <c r="F355" i="21" s="1"/>
  <c r="K355" i="21" s="1"/>
  <c r="H354" i="21" a="1"/>
  <c r="H354" i="21" s="1"/>
  <c r="F354" i="21" a="1"/>
  <c r="F354" i="21" s="1"/>
  <c r="K354" i="21" s="1"/>
  <c r="H353" i="21" a="1"/>
  <c r="H353" i="21" s="1"/>
  <c r="F353" i="21" a="1"/>
  <c r="F353" i="21" s="1"/>
  <c r="K353" i="21" s="1"/>
  <c r="H352" i="21" a="1"/>
  <c r="H352" i="21" s="1"/>
  <c r="F352" i="21" a="1"/>
  <c r="F352" i="21" s="1"/>
  <c r="K352" i="21" s="1"/>
  <c r="H351" i="21" a="1"/>
  <c r="H351" i="21" s="1"/>
  <c r="F351" i="21" a="1"/>
  <c r="F351" i="21" s="1"/>
  <c r="K351" i="21" s="1"/>
  <c r="H350" i="21" a="1"/>
  <c r="H350" i="21" s="1"/>
  <c r="F350" i="21" a="1"/>
  <c r="F350" i="21" s="1"/>
  <c r="K350" i="21" s="1"/>
  <c r="H349" i="21" a="1"/>
  <c r="H349" i="21" s="1"/>
  <c r="F349" i="21" a="1"/>
  <c r="F349" i="21" s="1"/>
  <c r="K349" i="21" s="1"/>
  <c r="L349" i="21" s="1"/>
  <c r="H348" i="21" a="1"/>
  <c r="H348" i="21" s="1"/>
  <c r="F348" i="21" a="1"/>
  <c r="F348" i="21" s="1"/>
  <c r="K348" i="21" s="1"/>
  <c r="L348" i="21" s="1"/>
  <c r="H347" i="21" a="1"/>
  <c r="H347" i="21" s="1"/>
  <c r="F347" i="21" a="1"/>
  <c r="F347" i="21" s="1"/>
  <c r="K347" i="21" s="1"/>
  <c r="L347" i="21" s="1"/>
  <c r="H346" i="21" a="1"/>
  <c r="H346" i="21" s="1"/>
  <c r="F346" i="21" a="1"/>
  <c r="F346" i="21" s="1"/>
  <c r="K346" i="21" s="1"/>
  <c r="H345" i="21" a="1"/>
  <c r="H345" i="21" s="1"/>
  <c r="F345" i="21" a="1"/>
  <c r="F345" i="21" s="1"/>
  <c r="K345" i="21" s="1"/>
  <c r="H344" i="21" a="1"/>
  <c r="H344" i="21" s="1"/>
  <c r="F344" i="21" a="1"/>
  <c r="F344" i="21" s="1"/>
  <c r="K344" i="21" s="1"/>
  <c r="H343" i="21" a="1"/>
  <c r="H343" i="21" s="1"/>
  <c r="F343" i="21" a="1"/>
  <c r="F343" i="21" s="1"/>
  <c r="K343" i="21" s="1"/>
  <c r="H342" i="21" a="1"/>
  <c r="H342" i="21" s="1"/>
  <c r="F342" i="21" a="1"/>
  <c r="F342" i="21" s="1"/>
  <c r="K342" i="21" s="1"/>
  <c r="H341" i="21" a="1"/>
  <c r="H341" i="21" s="1"/>
  <c r="F341" i="21" a="1"/>
  <c r="F341" i="21" s="1"/>
  <c r="K341" i="21" s="1"/>
  <c r="H340" i="21" a="1"/>
  <c r="H340" i="21" s="1"/>
  <c r="F340" i="21" a="1"/>
  <c r="F340" i="21" s="1"/>
  <c r="K340" i="21" s="1"/>
  <c r="L340" i="21" s="1"/>
  <c r="H339" i="21" a="1"/>
  <c r="H339" i="21" s="1"/>
  <c r="F339" i="21" a="1"/>
  <c r="F339" i="21" s="1"/>
  <c r="K339" i="21" s="1"/>
  <c r="L339" i="21" s="1"/>
  <c r="H338" i="21" a="1"/>
  <c r="H338" i="21" s="1"/>
  <c r="F338" i="21" a="1"/>
  <c r="F338" i="21" s="1"/>
  <c r="K338" i="21" s="1"/>
  <c r="H337" i="21" a="1"/>
  <c r="H337" i="21" s="1"/>
  <c r="F337" i="21" a="1"/>
  <c r="F337" i="21" s="1"/>
  <c r="K337" i="21" s="1"/>
  <c r="L337" i="21" s="1"/>
  <c r="H336" i="21" a="1"/>
  <c r="H336" i="21" s="1"/>
  <c r="F336" i="21" a="1"/>
  <c r="F336" i="21" s="1"/>
  <c r="K336" i="21" s="1"/>
  <c r="L336" i="21" s="1"/>
  <c r="H335" i="21" a="1"/>
  <c r="H335" i="21" s="1"/>
  <c r="F335" i="21" a="1"/>
  <c r="F335" i="21" s="1"/>
  <c r="K335" i="21" s="1"/>
  <c r="L335" i="21" s="1"/>
  <c r="H334" i="21" a="1"/>
  <c r="H334" i="21" s="1"/>
  <c r="F334" i="21" a="1"/>
  <c r="F334" i="21" s="1"/>
  <c r="K334" i="21" s="1"/>
  <c r="L334" i="21" s="1"/>
  <c r="H333" i="21" a="1"/>
  <c r="H333" i="21" s="1"/>
  <c r="F333" i="21" a="1"/>
  <c r="F333" i="21" s="1"/>
  <c r="K333" i="21" s="1"/>
  <c r="L333" i="21" s="1"/>
  <c r="H332" i="21" a="1"/>
  <c r="H332" i="21" s="1"/>
  <c r="F332" i="21" a="1"/>
  <c r="F332" i="21" s="1"/>
  <c r="K332" i="21" s="1"/>
  <c r="H331" i="21" a="1"/>
  <c r="H331" i="21" s="1"/>
  <c r="F331" i="21" a="1"/>
  <c r="F331" i="21" s="1"/>
  <c r="K331" i="21" s="1"/>
  <c r="L331" i="21" s="1"/>
  <c r="H330" i="21" a="1"/>
  <c r="H330" i="21" s="1"/>
  <c r="F330" i="21" a="1"/>
  <c r="F330" i="21" s="1"/>
  <c r="K330" i="21" s="1"/>
  <c r="L330" i="21" s="1"/>
  <c r="H329" i="21" a="1"/>
  <c r="H329" i="21" s="1"/>
  <c r="F329" i="21" a="1"/>
  <c r="F329" i="21" s="1"/>
  <c r="K329" i="21" s="1"/>
  <c r="H328" i="21" a="1"/>
  <c r="H328" i="21" s="1"/>
  <c r="F328" i="21" a="1"/>
  <c r="F328" i="21" s="1"/>
  <c r="K328" i="21" s="1"/>
  <c r="L328" i="21" s="1"/>
  <c r="H327" i="21" a="1"/>
  <c r="H327" i="21" s="1"/>
  <c r="F327" i="21" a="1"/>
  <c r="F327" i="21" s="1"/>
  <c r="K327" i="21" s="1"/>
  <c r="L327" i="21" s="1"/>
  <c r="H326" i="21" a="1"/>
  <c r="H326" i="21" s="1"/>
  <c r="F326" i="21" a="1"/>
  <c r="F326" i="21" s="1"/>
  <c r="K326" i="21" s="1"/>
  <c r="H325" i="21" a="1"/>
  <c r="H325" i="21" s="1"/>
  <c r="F325" i="21" a="1"/>
  <c r="F325" i="21" s="1"/>
  <c r="K325" i="21" s="1"/>
  <c r="L325" i="21" s="1"/>
  <c r="H324" i="21" a="1"/>
  <c r="H324" i="21" s="1"/>
  <c r="F324" i="21" a="1"/>
  <c r="F324" i="21" s="1"/>
  <c r="K324" i="21" s="1"/>
  <c r="H323" i="21" a="1"/>
  <c r="H323" i="21" s="1"/>
  <c r="F323" i="21" a="1"/>
  <c r="F323" i="21" s="1"/>
  <c r="K323" i="21" s="1"/>
  <c r="L323" i="21" s="1"/>
  <c r="H322" i="21" a="1"/>
  <c r="H322" i="21" s="1"/>
  <c r="F322" i="21" a="1"/>
  <c r="F322" i="21" s="1"/>
  <c r="K322" i="21" s="1"/>
  <c r="H321" i="21" a="1"/>
  <c r="H321" i="21" s="1"/>
  <c r="F321" i="21" a="1"/>
  <c r="F321" i="21" s="1"/>
  <c r="K321" i="21" s="1"/>
  <c r="H320" i="21" a="1"/>
  <c r="H320" i="21" s="1"/>
  <c r="F320" i="21" a="1"/>
  <c r="F320" i="21" s="1"/>
  <c r="K320" i="21" s="1"/>
  <c r="L320" i="21" s="1"/>
  <c r="H319" i="21" a="1"/>
  <c r="H319" i="21" s="1"/>
  <c r="F319" i="21" a="1"/>
  <c r="F319" i="21" s="1"/>
  <c r="K319" i="21" s="1"/>
  <c r="L319" i="21" s="1"/>
  <c r="H318" i="21" a="1"/>
  <c r="H318" i="21" s="1"/>
  <c r="F318" i="21" a="1"/>
  <c r="F318" i="21" s="1"/>
  <c r="K318" i="21" s="1"/>
  <c r="L318" i="21" s="1"/>
  <c r="H317" i="21" a="1"/>
  <c r="H317" i="21" s="1"/>
  <c r="F317" i="21" a="1"/>
  <c r="F317" i="21" s="1"/>
  <c r="K317" i="21" s="1"/>
  <c r="L317" i="21" s="1"/>
  <c r="H316" i="21" a="1"/>
  <c r="H316" i="21" s="1"/>
  <c r="F316" i="21" a="1"/>
  <c r="F316" i="21" s="1"/>
  <c r="K316" i="21" s="1"/>
  <c r="L316" i="21" s="1"/>
  <c r="H315" i="21" a="1"/>
  <c r="H315" i="21" s="1"/>
  <c r="F315" i="21" a="1"/>
  <c r="F315" i="21" s="1"/>
  <c r="K315" i="21" s="1"/>
  <c r="H314" i="21" a="1"/>
  <c r="H314" i="21" s="1"/>
  <c r="F314" i="21" a="1"/>
  <c r="F314" i="21" s="1"/>
  <c r="K314" i="21" s="1"/>
  <c r="H313" i="21" a="1"/>
  <c r="H313" i="21" s="1"/>
  <c r="F313" i="21" a="1"/>
  <c r="F313" i="21" s="1"/>
  <c r="K313" i="21" s="1"/>
  <c r="L313" i="21" s="1"/>
  <c r="H312" i="21" a="1"/>
  <c r="H312" i="21" s="1"/>
  <c r="F312" i="21" a="1"/>
  <c r="F312" i="21" s="1"/>
  <c r="K312" i="21" s="1"/>
  <c r="L312" i="21" s="1"/>
  <c r="H311" i="21" a="1"/>
  <c r="H311" i="21" s="1"/>
  <c r="F311" i="21" a="1"/>
  <c r="F311" i="21" s="1"/>
  <c r="K311" i="21" s="1"/>
  <c r="H310" i="21" a="1"/>
  <c r="H310" i="21" s="1"/>
  <c r="F310" i="21" a="1"/>
  <c r="F310" i="21" s="1"/>
  <c r="K310" i="21" s="1"/>
  <c r="L310" i="21" s="1"/>
  <c r="H309" i="21" a="1"/>
  <c r="H309" i="21" s="1"/>
  <c r="F309" i="21" a="1"/>
  <c r="F309" i="21" s="1"/>
  <c r="K309" i="21" s="1"/>
  <c r="L309" i="21" s="1"/>
  <c r="H308" i="21" a="1"/>
  <c r="H308" i="21" s="1"/>
  <c r="F308" i="21" a="1"/>
  <c r="F308" i="21" s="1"/>
  <c r="K308" i="21" s="1"/>
  <c r="L308" i="21" s="1"/>
  <c r="H307" i="21" a="1"/>
  <c r="H307" i="21" s="1"/>
  <c r="F307" i="21" a="1"/>
  <c r="F307" i="21" s="1"/>
  <c r="K307" i="21" s="1"/>
  <c r="H306" i="21" a="1"/>
  <c r="H306" i="21" s="1"/>
  <c r="F306" i="21" a="1"/>
  <c r="F306" i="21" s="1"/>
  <c r="K306" i="21" s="1"/>
  <c r="L306" i="21" s="1"/>
  <c r="H305" i="21" a="1"/>
  <c r="H305" i="21" s="1"/>
  <c r="F305" i="21" a="1"/>
  <c r="F305" i="21" s="1"/>
  <c r="K305" i="21" s="1"/>
  <c r="L305" i="21" s="1"/>
  <c r="H304" i="21" a="1"/>
  <c r="H304" i="21" s="1"/>
  <c r="F304" i="21" a="1"/>
  <c r="F304" i="21" s="1"/>
  <c r="K304" i="21" s="1"/>
  <c r="L304" i="21" s="1"/>
  <c r="H303" i="21" a="1"/>
  <c r="H303" i="21" s="1"/>
  <c r="F303" i="21" a="1"/>
  <c r="F303" i="21" s="1"/>
  <c r="K303" i="21" s="1"/>
  <c r="H302" i="21" a="1"/>
  <c r="H302" i="21" s="1"/>
  <c r="F302" i="21" a="1"/>
  <c r="F302" i="21" s="1"/>
  <c r="K302" i="21" s="1"/>
  <c r="L302" i="21" s="1"/>
  <c r="H301" i="21" a="1"/>
  <c r="H301" i="21" s="1"/>
  <c r="F301" i="21" a="1"/>
  <c r="F301" i="21" s="1"/>
  <c r="K301" i="21" s="1"/>
  <c r="H300" i="21" a="1"/>
  <c r="H300" i="21" s="1"/>
  <c r="F300" i="21" a="1"/>
  <c r="F300" i="21" s="1"/>
  <c r="K300" i="21" s="1"/>
  <c r="H299" i="21" a="1"/>
  <c r="H299" i="21" s="1"/>
  <c r="F299" i="21" a="1"/>
  <c r="F299" i="21" s="1"/>
  <c r="K299" i="21" s="1"/>
  <c r="L299" i="21" s="1"/>
  <c r="H298" i="21" a="1"/>
  <c r="H298" i="21" s="1"/>
  <c r="F298" i="21" a="1"/>
  <c r="F298" i="21" s="1"/>
  <c r="K298" i="21" s="1"/>
  <c r="H297" i="21" a="1"/>
  <c r="H297" i="21" s="1"/>
  <c r="F297" i="21" a="1"/>
  <c r="F297" i="21" s="1"/>
  <c r="K297" i="21" s="1"/>
  <c r="L297" i="21" s="1"/>
  <c r="H296" i="21" a="1"/>
  <c r="H296" i="21" s="1"/>
  <c r="F296" i="21" a="1"/>
  <c r="F296" i="21" s="1"/>
  <c r="K296" i="21" s="1"/>
  <c r="H295" i="21" a="1"/>
  <c r="H295" i="21" s="1"/>
  <c r="F295" i="21" a="1"/>
  <c r="F295" i="21" s="1"/>
  <c r="K295" i="21" s="1"/>
  <c r="L295" i="21" s="1"/>
  <c r="H294" i="21" a="1"/>
  <c r="H294" i="21" s="1"/>
  <c r="F294" i="21" a="1"/>
  <c r="F294" i="21" s="1"/>
  <c r="K294" i="21" s="1"/>
  <c r="L294" i="21" s="1"/>
  <c r="H293" i="21" a="1"/>
  <c r="H293" i="21" s="1"/>
  <c r="F293" i="21" a="1"/>
  <c r="F293" i="21" s="1"/>
  <c r="K293" i="21" s="1"/>
  <c r="H292" i="21" a="1"/>
  <c r="H292" i="21" s="1"/>
  <c r="F292" i="21" a="1"/>
  <c r="F292" i="21" s="1"/>
  <c r="K292" i="21" s="1"/>
  <c r="H291" i="21" a="1"/>
  <c r="H291" i="21" s="1"/>
  <c r="F291" i="21" a="1"/>
  <c r="F291" i="21" s="1"/>
  <c r="K291" i="21" s="1"/>
  <c r="L291" i="21" s="1"/>
  <c r="H290" i="21" a="1"/>
  <c r="H290" i="21" s="1"/>
  <c r="F290" i="21" a="1"/>
  <c r="F290" i="21" s="1"/>
  <c r="K290" i="21" s="1"/>
  <c r="L290" i="21" s="1"/>
  <c r="H289" i="21" a="1"/>
  <c r="H289" i="21" s="1"/>
  <c r="F289" i="21" a="1"/>
  <c r="F289" i="21" s="1"/>
  <c r="K289" i="21" s="1"/>
  <c r="H288" i="21" a="1"/>
  <c r="H288" i="21" s="1"/>
  <c r="F288" i="21" a="1"/>
  <c r="F288" i="21" s="1"/>
  <c r="K288" i="21" s="1"/>
  <c r="H287" i="21" a="1"/>
  <c r="H287" i="21" s="1"/>
  <c r="F287" i="21" a="1"/>
  <c r="F287" i="21" s="1"/>
  <c r="K287" i="21" s="1"/>
  <c r="L287" i="21" s="1"/>
  <c r="H286" i="21" a="1"/>
  <c r="H286" i="21" s="1"/>
  <c r="F286" i="21" a="1"/>
  <c r="F286" i="21" s="1"/>
  <c r="K286" i="21" s="1"/>
  <c r="L286" i="21" s="1"/>
  <c r="H285" i="21" a="1"/>
  <c r="H285" i="21" s="1"/>
  <c r="F285" i="21" a="1"/>
  <c r="F285" i="21" s="1"/>
  <c r="K285" i="21" s="1"/>
  <c r="L285" i="21" s="1"/>
  <c r="H284" i="21" a="1"/>
  <c r="H284" i="21" s="1"/>
  <c r="F284" i="21" a="1"/>
  <c r="F284" i="21" s="1"/>
  <c r="K284" i="21" s="1"/>
  <c r="H283" i="21" a="1"/>
  <c r="H283" i="21" s="1"/>
  <c r="F283" i="21" a="1"/>
  <c r="F283" i="21" s="1"/>
  <c r="K283" i="21" s="1"/>
  <c r="H282" i="21" a="1"/>
  <c r="H282" i="21" s="1"/>
  <c r="F282" i="21" a="1"/>
  <c r="F282" i="21" s="1"/>
  <c r="K282" i="21" s="1"/>
  <c r="L282" i="21" s="1"/>
  <c r="H281" i="21" a="1"/>
  <c r="H281" i="21" s="1"/>
  <c r="F281" i="21" a="1"/>
  <c r="F281" i="21" s="1"/>
  <c r="K281" i="21" s="1"/>
  <c r="L281" i="21" s="1"/>
  <c r="H280" i="21" a="1"/>
  <c r="H280" i="21" s="1"/>
  <c r="F280" i="21" a="1"/>
  <c r="F280" i="21" s="1"/>
  <c r="K280" i="21" s="1"/>
  <c r="L280" i="21" s="1"/>
  <c r="H279" i="21" a="1"/>
  <c r="H279" i="21" s="1"/>
  <c r="F279" i="21" a="1"/>
  <c r="F279" i="21" s="1"/>
  <c r="K279" i="21" s="1"/>
  <c r="L279" i="21" s="1"/>
  <c r="H278" i="21" a="1"/>
  <c r="H278" i="21" s="1"/>
  <c r="F278" i="21" a="1"/>
  <c r="F278" i="21" s="1"/>
  <c r="K278" i="21" s="1"/>
  <c r="H277" i="21" a="1"/>
  <c r="H277" i="21" s="1"/>
  <c r="F277" i="21" a="1"/>
  <c r="F277" i="21" s="1"/>
  <c r="K277" i="21" s="1"/>
  <c r="L277" i="21" s="1"/>
  <c r="H276" i="21" a="1"/>
  <c r="H276" i="21" s="1"/>
  <c r="F276" i="21" a="1"/>
  <c r="F276" i="21" s="1"/>
  <c r="K276" i="21" s="1"/>
  <c r="L276" i="21" s="1"/>
  <c r="H275" i="21" a="1"/>
  <c r="H275" i="21" s="1"/>
  <c r="F275" i="21" a="1"/>
  <c r="F275" i="21" s="1"/>
  <c r="K275" i="21" s="1"/>
  <c r="H274" i="21" a="1"/>
  <c r="H274" i="21" s="1"/>
  <c r="F274" i="21" a="1"/>
  <c r="F274" i="21" s="1"/>
  <c r="K274" i="21" s="1"/>
  <c r="L274" i="21" s="1"/>
  <c r="H273" i="21" a="1"/>
  <c r="H273" i="21" s="1"/>
  <c r="F273" i="21" a="1"/>
  <c r="F273" i="21" s="1"/>
  <c r="K273" i="21" s="1"/>
  <c r="L273" i="21" s="1"/>
  <c r="H272" i="21" a="1"/>
  <c r="H272" i="21" s="1"/>
  <c r="F272" i="21" a="1"/>
  <c r="F272" i="21" s="1"/>
  <c r="K272" i="21" s="1"/>
  <c r="L272" i="21" s="1"/>
  <c r="H271" i="21" a="1"/>
  <c r="H271" i="21" s="1"/>
  <c r="F271" i="21" a="1"/>
  <c r="F271" i="21" s="1"/>
  <c r="K271" i="21" s="1"/>
  <c r="H270" i="21" a="1"/>
  <c r="H270" i="21" s="1"/>
  <c r="F270" i="21" a="1"/>
  <c r="F270" i="21" s="1"/>
  <c r="K270" i="21" s="1"/>
  <c r="L270" i="21" s="1"/>
  <c r="H269" i="21" a="1"/>
  <c r="H269" i="21" s="1"/>
  <c r="F269" i="21" a="1"/>
  <c r="F269" i="21" s="1"/>
  <c r="K269" i="21" s="1"/>
  <c r="H268" i="21" a="1"/>
  <c r="H268" i="21" s="1"/>
  <c r="F268" i="21" a="1"/>
  <c r="F268" i="21" s="1"/>
  <c r="K268" i="21" s="1"/>
  <c r="L268" i="21" s="1"/>
  <c r="H267" i="21" a="1"/>
  <c r="H267" i="21" s="1"/>
  <c r="F267" i="21" a="1"/>
  <c r="F267" i="21" s="1"/>
  <c r="K267" i="21" s="1"/>
  <c r="H266" i="21" a="1"/>
  <c r="H266" i="21" s="1"/>
  <c r="F266" i="21" a="1"/>
  <c r="F266" i="21" s="1"/>
  <c r="K266" i="21" s="1"/>
  <c r="H265" i="21" a="1"/>
  <c r="H265" i="21" s="1"/>
  <c r="F265" i="21" a="1"/>
  <c r="F265" i="21" s="1"/>
  <c r="K265" i="21" s="1"/>
  <c r="H264" i="21" a="1"/>
  <c r="H264" i="21" s="1"/>
  <c r="F264" i="21" a="1"/>
  <c r="F264" i="21" s="1"/>
  <c r="K264" i="21" s="1"/>
  <c r="L264" i="21" s="1"/>
  <c r="H263" i="21" a="1"/>
  <c r="H263" i="21" s="1"/>
  <c r="F263" i="21" a="1"/>
  <c r="F263" i="21" s="1"/>
  <c r="K263" i="21" s="1"/>
  <c r="H262" i="21" a="1"/>
  <c r="H262" i="21" s="1"/>
  <c r="F262" i="21" a="1"/>
  <c r="F262" i="21" s="1"/>
  <c r="K262" i="21" s="1"/>
  <c r="L262" i="21" s="1"/>
  <c r="H261" i="21" a="1"/>
  <c r="H261" i="21" s="1"/>
  <c r="F261" i="21" a="1"/>
  <c r="F261" i="21" s="1"/>
  <c r="K261" i="21" s="1"/>
  <c r="H260" i="21" a="1"/>
  <c r="H260" i="21" s="1"/>
  <c r="F260" i="21" a="1"/>
  <c r="F260" i="21" s="1"/>
  <c r="K260" i="21" s="1"/>
  <c r="H259" i="21" a="1"/>
  <c r="H259" i="21" s="1"/>
  <c r="F259" i="21" a="1"/>
  <c r="F259" i="21" s="1"/>
  <c r="K259" i="21" s="1"/>
  <c r="H258" i="21" a="1"/>
  <c r="H258" i="21" s="1"/>
  <c r="F258" i="21" a="1"/>
  <c r="F258" i="21" s="1"/>
  <c r="K258" i="21" s="1"/>
  <c r="L258" i="21" s="1"/>
  <c r="H257" i="21" a="1"/>
  <c r="H257" i="21" s="1"/>
  <c r="F257" i="21" a="1"/>
  <c r="F257" i="21" s="1"/>
  <c r="K257" i="21" s="1"/>
  <c r="L257" i="21" s="1"/>
  <c r="H256" i="21" a="1"/>
  <c r="H256" i="21" s="1"/>
  <c r="F256" i="21" a="1"/>
  <c r="F256" i="21" s="1"/>
  <c r="K256" i="21" s="1"/>
  <c r="L256" i="21" s="1"/>
  <c r="H255" i="21" a="1"/>
  <c r="H255" i="21" s="1"/>
  <c r="F255" i="21" a="1"/>
  <c r="F255" i="21" s="1"/>
  <c r="K255" i="21" s="1"/>
  <c r="L255" i="21" s="1"/>
  <c r="H254" i="21" a="1"/>
  <c r="H254" i="21" s="1"/>
  <c r="F254" i="21" a="1"/>
  <c r="F254" i="21" s="1"/>
  <c r="K254" i="21" s="1"/>
  <c r="H253" i="21" a="1"/>
  <c r="H253" i="21" s="1"/>
  <c r="F253" i="21" a="1"/>
  <c r="F253" i="21" s="1"/>
  <c r="K253" i="21" s="1"/>
  <c r="L253" i="21" s="1"/>
  <c r="H252" i="21" a="1"/>
  <c r="H252" i="21" s="1"/>
  <c r="F252" i="21" a="1"/>
  <c r="F252" i="21" s="1"/>
  <c r="K252" i="21" s="1"/>
  <c r="H251" i="21" a="1"/>
  <c r="H251" i="21" s="1"/>
  <c r="F251" i="21" a="1"/>
  <c r="F251" i="21" s="1"/>
  <c r="K251" i="21" s="1"/>
  <c r="L251" i="21" s="1"/>
  <c r="H250" i="21" a="1"/>
  <c r="H250" i="21" s="1"/>
  <c r="F250" i="21" a="1"/>
  <c r="F250" i="21" s="1"/>
  <c r="K250" i="21" s="1"/>
  <c r="H249" i="21" a="1"/>
  <c r="H249" i="21" s="1"/>
  <c r="F249" i="21" a="1"/>
  <c r="F249" i="21" s="1"/>
  <c r="K249" i="21" s="1"/>
  <c r="L249" i="21" s="1"/>
  <c r="H248" i="21" a="1"/>
  <c r="H248" i="21" s="1"/>
  <c r="F248" i="21" a="1"/>
  <c r="F248" i="21" s="1"/>
  <c r="K248" i="21" s="1"/>
  <c r="H247" i="21" a="1"/>
  <c r="H247" i="21" s="1"/>
  <c r="F247" i="21" a="1"/>
  <c r="F247" i="21" s="1"/>
  <c r="K247" i="21" s="1"/>
  <c r="L247" i="21" s="1"/>
  <c r="H246" i="21" a="1"/>
  <c r="H246" i="21" s="1"/>
  <c r="F246" i="21" a="1"/>
  <c r="F246" i="21" s="1"/>
  <c r="K246" i="21" s="1"/>
  <c r="L246" i="21" s="1"/>
  <c r="H245" i="21" a="1"/>
  <c r="H245" i="21" s="1"/>
  <c r="F245" i="21" a="1"/>
  <c r="F245" i="21" s="1"/>
  <c r="K245" i="21" s="1"/>
  <c r="H244" i="21" a="1"/>
  <c r="H244" i="21" s="1"/>
  <c r="F244" i="21" a="1"/>
  <c r="F244" i="21" s="1"/>
  <c r="K244" i="21" s="1"/>
  <c r="H243" i="21" a="1"/>
  <c r="H243" i="21" s="1"/>
  <c r="F243" i="21" a="1"/>
  <c r="F243" i="21" s="1"/>
  <c r="K243" i="21" s="1"/>
  <c r="H242" i="21" a="1"/>
  <c r="H242" i="21" s="1"/>
  <c r="F242" i="21" a="1"/>
  <c r="F242" i="21" s="1"/>
  <c r="K242" i="21" s="1"/>
  <c r="H241" i="21" a="1"/>
  <c r="H241" i="21" s="1"/>
  <c r="F241" i="21" a="1"/>
  <c r="F241" i="21" s="1"/>
  <c r="K241" i="21" s="1"/>
  <c r="L241" i="21" s="1"/>
  <c r="H240" i="21" a="1"/>
  <c r="H240" i="21" s="1"/>
  <c r="F240" i="21" a="1"/>
  <c r="F240" i="21" s="1"/>
  <c r="K240" i="21" s="1"/>
  <c r="L240" i="21" s="1"/>
  <c r="H239" i="21" a="1"/>
  <c r="H239" i="21" s="1"/>
  <c r="F239" i="21" a="1"/>
  <c r="F239" i="21" s="1"/>
  <c r="K239" i="21" s="1"/>
  <c r="H238" i="21" a="1"/>
  <c r="H238" i="21" s="1"/>
  <c r="F238" i="21" a="1"/>
  <c r="F238" i="21" s="1"/>
  <c r="K238" i="21" s="1"/>
  <c r="H237" i="21" a="1"/>
  <c r="H237" i="21" s="1"/>
  <c r="F237" i="21" a="1"/>
  <c r="F237" i="21" s="1"/>
  <c r="K237" i="21" s="1"/>
  <c r="L237" i="21" s="1"/>
  <c r="H236" i="21" a="1"/>
  <c r="H236" i="21" s="1"/>
  <c r="F236" i="21" a="1"/>
  <c r="F236" i="21" s="1"/>
  <c r="K236" i="21" s="1"/>
  <c r="L236" i="21" s="1"/>
  <c r="H235" i="21" a="1"/>
  <c r="H235" i="21" s="1"/>
  <c r="F235" i="21" a="1"/>
  <c r="F235" i="21" s="1"/>
  <c r="K235" i="21" s="1"/>
  <c r="H234" i="21" a="1"/>
  <c r="H234" i="21" s="1"/>
  <c r="F234" i="21" a="1"/>
  <c r="F234" i="21" s="1"/>
  <c r="K234" i="21" s="1"/>
  <c r="L234" i="21" s="1"/>
  <c r="H233" i="21" a="1"/>
  <c r="H233" i="21" s="1"/>
  <c r="F233" i="21" a="1"/>
  <c r="F233" i="21" s="1"/>
  <c r="K233" i="21" s="1"/>
  <c r="L233" i="21" s="1"/>
  <c r="H232" i="21" a="1"/>
  <c r="H232" i="21" s="1"/>
  <c r="F232" i="21" a="1"/>
  <c r="F232" i="21" s="1"/>
  <c r="K232" i="21" s="1"/>
  <c r="L232" i="21" s="1"/>
  <c r="H231" i="21" a="1"/>
  <c r="H231" i="21" s="1"/>
  <c r="F231" i="21" a="1"/>
  <c r="F231" i="21" s="1"/>
  <c r="K231" i="21" s="1"/>
  <c r="H230" i="21" a="1"/>
  <c r="H230" i="21" s="1"/>
  <c r="F230" i="21" a="1"/>
  <c r="F230" i="21" s="1"/>
  <c r="K230" i="21" s="1"/>
  <c r="L230" i="21" s="1"/>
  <c r="H229" i="21" a="1"/>
  <c r="H229" i="21" s="1"/>
  <c r="F229" i="21" a="1"/>
  <c r="F229" i="21" s="1"/>
  <c r="K229" i="21" s="1"/>
  <c r="L229" i="21" s="1"/>
  <c r="H228" i="21" a="1"/>
  <c r="H228" i="21" s="1"/>
  <c r="F228" i="21" a="1"/>
  <c r="F228" i="21" s="1"/>
  <c r="K228" i="21" s="1"/>
  <c r="L228" i="21" s="1"/>
  <c r="H227" i="21" a="1"/>
  <c r="H227" i="21" s="1"/>
  <c r="F227" i="21" a="1"/>
  <c r="F227" i="21" s="1"/>
  <c r="K227" i="21" s="1"/>
  <c r="H226" i="21" a="1"/>
  <c r="H226" i="21" s="1"/>
  <c r="F226" i="21" a="1"/>
  <c r="F226" i="21" s="1"/>
  <c r="K226" i="21" s="1"/>
  <c r="H225" i="21" a="1"/>
  <c r="H225" i="21" s="1"/>
  <c r="F225" i="21" a="1"/>
  <c r="F225" i="21" s="1"/>
  <c r="K225" i="21" s="1"/>
  <c r="H224" i="21" a="1"/>
  <c r="H224" i="21" s="1"/>
  <c r="F224" i="21" a="1"/>
  <c r="F224" i="21" s="1"/>
  <c r="K224" i="21" s="1"/>
  <c r="L224" i="21" s="1"/>
  <c r="H223" i="21" a="1"/>
  <c r="H223" i="21" s="1"/>
  <c r="F223" i="21" a="1"/>
  <c r="F223" i="21" s="1"/>
  <c r="K223" i="21" s="1"/>
  <c r="H222" i="21" a="1"/>
  <c r="H222" i="21" s="1"/>
  <c r="F222" i="21" a="1"/>
  <c r="F222" i="21" s="1"/>
  <c r="K222" i="21" s="1"/>
  <c r="L222" i="21" s="1"/>
  <c r="H221" i="21" a="1"/>
  <c r="H221" i="21" s="1"/>
  <c r="F221" i="21" a="1"/>
  <c r="F221" i="21" s="1"/>
  <c r="K221" i="21" s="1"/>
  <c r="L221" i="21" s="1"/>
  <c r="H220" i="21" a="1"/>
  <c r="H220" i="21" s="1"/>
  <c r="F220" i="21" a="1"/>
  <c r="F220" i="21" s="1"/>
  <c r="K220" i="21" s="1"/>
  <c r="L220" i="21" s="1"/>
  <c r="H219" i="21" a="1"/>
  <c r="H219" i="21" s="1"/>
  <c r="F219" i="21" a="1"/>
  <c r="F219" i="21" s="1"/>
  <c r="K219" i="21" s="1"/>
  <c r="L219" i="21" s="1"/>
  <c r="H218" i="21" a="1"/>
  <c r="H218" i="21" s="1"/>
  <c r="F218" i="21" a="1"/>
  <c r="F218" i="21" s="1"/>
  <c r="K218" i="21" s="1"/>
  <c r="L218" i="21" s="1"/>
  <c r="H217" i="21" a="1"/>
  <c r="H217" i="21" s="1"/>
  <c r="F217" i="21" a="1"/>
  <c r="F217" i="21" s="1"/>
  <c r="K217" i="21" s="1"/>
  <c r="H216" i="21" a="1"/>
  <c r="H216" i="21" s="1"/>
  <c r="F216" i="21" a="1"/>
  <c r="F216" i="21" s="1"/>
  <c r="K216" i="21" s="1"/>
  <c r="H215" i="21" a="1"/>
  <c r="H215" i="21" s="1"/>
  <c r="F215" i="21" a="1"/>
  <c r="F215" i="21" s="1"/>
  <c r="K215" i="21" s="1"/>
  <c r="L215" i="21" s="1"/>
  <c r="H214" i="21" a="1"/>
  <c r="H214" i="21" s="1"/>
  <c r="F214" i="21" a="1"/>
  <c r="F214" i="21" s="1"/>
  <c r="K214" i="21" s="1"/>
  <c r="H213" i="21" a="1"/>
  <c r="H213" i="21" s="1"/>
  <c r="F213" i="21" a="1"/>
  <c r="F213" i="21" s="1"/>
  <c r="K213" i="21" s="1"/>
  <c r="L213" i="21" s="1"/>
  <c r="H212" i="21" a="1"/>
  <c r="H212" i="21" s="1"/>
  <c r="F212" i="21" a="1"/>
  <c r="F212" i="21" s="1"/>
  <c r="K212" i="21" s="1"/>
  <c r="L212" i="21" s="1"/>
  <c r="H211" i="21" a="1"/>
  <c r="H211" i="21" s="1"/>
  <c r="F211" i="21" a="1"/>
  <c r="F211" i="21" s="1"/>
  <c r="K211" i="21" s="1"/>
  <c r="L211" i="21" s="1"/>
  <c r="J210" i="21"/>
  <c r="H210" i="21" a="1"/>
  <c r="H210" i="21" s="1"/>
  <c r="F210" i="21" a="1"/>
  <c r="F210" i="21" s="1"/>
  <c r="H209" i="21" a="1"/>
  <c r="H209" i="21" s="1"/>
  <c r="F209" i="21" a="1"/>
  <c r="F209" i="21" s="1"/>
  <c r="K209" i="21" s="1"/>
  <c r="L209" i="21" s="1"/>
  <c r="H208" i="21" a="1"/>
  <c r="H208" i="21" s="1"/>
  <c r="F208" i="21" a="1"/>
  <c r="F208" i="21" s="1"/>
  <c r="K208" i="21" s="1"/>
  <c r="H207" i="21" a="1"/>
  <c r="H207" i="21" s="1"/>
  <c r="F207" i="21" a="1"/>
  <c r="F207" i="21" s="1"/>
  <c r="K207" i="21" s="1"/>
  <c r="L207" i="21" s="1"/>
  <c r="H206" i="21" a="1"/>
  <c r="H206" i="21" s="1"/>
  <c r="F206" i="21" a="1"/>
  <c r="F206" i="21" s="1"/>
  <c r="K206" i="21" s="1"/>
  <c r="H205" i="21" a="1"/>
  <c r="H205" i="21" s="1"/>
  <c r="F205" i="21" a="1"/>
  <c r="F205" i="21" s="1"/>
  <c r="K205" i="21" s="1"/>
  <c r="L205" i="21" s="1"/>
  <c r="H204" i="21" a="1"/>
  <c r="H204" i="21" s="1"/>
  <c r="F204" i="21" a="1"/>
  <c r="F204" i="21" s="1"/>
  <c r="K204" i="21" s="1"/>
  <c r="L204" i="21" s="1"/>
  <c r="H203" i="21" a="1"/>
  <c r="H203" i="21" s="1"/>
  <c r="F203" i="21" a="1"/>
  <c r="F203" i="21" s="1"/>
  <c r="K203" i="21" s="1"/>
  <c r="H202" i="21" a="1"/>
  <c r="H202" i="21" s="1"/>
  <c r="F202" i="21" a="1"/>
  <c r="F202" i="21" s="1"/>
  <c r="K202" i="21" s="1"/>
  <c r="L202" i="21" s="1"/>
  <c r="H201" i="21" a="1"/>
  <c r="H201" i="21" s="1"/>
  <c r="F201" i="21" a="1"/>
  <c r="F201" i="21" s="1"/>
  <c r="K201" i="21" s="1"/>
  <c r="L201" i="21" s="1"/>
  <c r="H200" i="21" a="1"/>
  <c r="H200" i="21" s="1"/>
  <c r="F200" i="21" a="1"/>
  <c r="F200" i="21" s="1"/>
  <c r="K200" i="21" s="1"/>
  <c r="L200" i="21" s="1"/>
  <c r="H199" i="21" a="1"/>
  <c r="H199" i="21" s="1"/>
  <c r="F199" i="21" a="1"/>
  <c r="F199" i="21" s="1"/>
  <c r="K199" i="21" s="1"/>
  <c r="H198" i="21" a="1"/>
  <c r="H198" i="21" s="1"/>
  <c r="F198" i="21" a="1"/>
  <c r="F198" i="21" s="1"/>
  <c r="K198" i="21" s="1"/>
  <c r="L198" i="21" s="1"/>
  <c r="H197" i="21" a="1"/>
  <c r="H197" i="21" s="1"/>
  <c r="F197" i="21" a="1"/>
  <c r="F197" i="21" s="1"/>
  <c r="K197" i="21" s="1"/>
  <c r="L197" i="21" s="1"/>
  <c r="H196" i="21" a="1"/>
  <c r="H196" i="21" s="1"/>
  <c r="F196" i="21" a="1"/>
  <c r="F196" i="21" s="1"/>
  <c r="K196" i="21" s="1"/>
  <c r="H195" i="21" a="1"/>
  <c r="H195" i="21" s="1"/>
  <c r="F195" i="21" a="1"/>
  <c r="F195" i="21" s="1"/>
  <c r="K195" i="21" s="1"/>
  <c r="L195" i="21" s="1"/>
  <c r="H194" i="21" a="1"/>
  <c r="H194" i="21" s="1"/>
  <c r="F194" i="21" a="1"/>
  <c r="F194" i="21" s="1"/>
  <c r="K194" i="21" s="1"/>
  <c r="L194" i="21" s="1"/>
  <c r="H193" i="21" a="1"/>
  <c r="H193" i="21" s="1"/>
  <c r="F193" i="21" a="1"/>
  <c r="F193" i="21" s="1"/>
  <c r="K193" i="21" s="1"/>
  <c r="L193" i="21" s="1"/>
  <c r="H192" i="21" a="1"/>
  <c r="H192" i="21" s="1"/>
  <c r="F192" i="21" a="1"/>
  <c r="F192" i="21" s="1"/>
  <c r="K192" i="21" s="1"/>
  <c r="L192" i="21" s="1"/>
  <c r="H191" i="21" a="1"/>
  <c r="H191" i="21" s="1"/>
  <c r="F191" i="21" a="1"/>
  <c r="F191" i="21" s="1"/>
  <c r="K191" i="21" s="1"/>
  <c r="L191" i="21" s="1"/>
  <c r="H190" i="21" a="1"/>
  <c r="H190" i="21" s="1"/>
  <c r="F190" i="21" a="1"/>
  <c r="F190" i="21" s="1"/>
  <c r="K190" i="21" s="1"/>
  <c r="L190" i="21" s="1"/>
  <c r="H189" i="21" a="1"/>
  <c r="H189" i="21" s="1"/>
  <c r="F189" i="21" a="1"/>
  <c r="F189" i="21" s="1"/>
  <c r="K189" i="21" s="1"/>
  <c r="L189" i="21" s="1"/>
  <c r="H188" i="21" a="1"/>
  <c r="H188" i="21" s="1"/>
  <c r="F188" i="21" a="1"/>
  <c r="F188" i="21" s="1"/>
  <c r="K188" i="21" s="1"/>
  <c r="L188" i="21" s="1"/>
  <c r="H187" i="21" a="1"/>
  <c r="H187" i="21" s="1"/>
  <c r="F187" i="21" a="1"/>
  <c r="F187" i="21" s="1"/>
  <c r="K187" i="21" s="1"/>
  <c r="L187" i="21" s="1"/>
  <c r="H186" i="21" a="1"/>
  <c r="H186" i="21" s="1"/>
  <c r="F186" i="21" a="1"/>
  <c r="F186" i="21" s="1"/>
  <c r="K186" i="21" s="1"/>
  <c r="L186" i="21" s="1"/>
  <c r="H185" i="21" a="1"/>
  <c r="H185" i="21" s="1"/>
  <c r="F185" i="21" a="1"/>
  <c r="F185" i="21" s="1"/>
  <c r="K185" i="21" s="1"/>
  <c r="L185" i="21" s="1"/>
  <c r="H184" i="21" a="1"/>
  <c r="H184" i="21" s="1"/>
  <c r="F184" i="21" a="1"/>
  <c r="F184" i="21" s="1"/>
  <c r="K184" i="21" s="1"/>
  <c r="L184" i="21" s="1"/>
  <c r="H183" i="21" a="1"/>
  <c r="H183" i="21" s="1"/>
  <c r="F183" i="21" a="1"/>
  <c r="F183" i="21" s="1"/>
  <c r="K183" i="21" s="1"/>
  <c r="L183" i="21" s="1"/>
  <c r="H182" i="21" a="1"/>
  <c r="H182" i="21" s="1"/>
  <c r="F182" i="21" a="1"/>
  <c r="F182" i="21" s="1"/>
  <c r="K182" i="21" s="1"/>
  <c r="L182" i="21" s="1"/>
  <c r="H181" i="21" a="1"/>
  <c r="H181" i="21" s="1"/>
  <c r="F181" i="21" a="1"/>
  <c r="F181" i="21" s="1"/>
  <c r="K181" i="21" s="1"/>
  <c r="L181" i="21" s="1"/>
  <c r="H180" i="21" a="1"/>
  <c r="H180" i="21" s="1"/>
  <c r="F180" i="21" a="1"/>
  <c r="F180" i="21" s="1"/>
  <c r="K180" i="21" s="1"/>
  <c r="L180" i="21" s="1"/>
  <c r="H179" i="21" a="1"/>
  <c r="H179" i="21" s="1"/>
  <c r="F179" i="21" a="1"/>
  <c r="F179" i="21" s="1"/>
  <c r="K179" i="21" s="1"/>
  <c r="H178" i="21" a="1"/>
  <c r="H178" i="21" s="1"/>
  <c r="F178" i="21" a="1"/>
  <c r="F178" i="21" s="1"/>
  <c r="K178" i="21" s="1"/>
  <c r="H177" i="21" a="1"/>
  <c r="H177" i="21" s="1"/>
  <c r="F177" i="21" a="1"/>
  <c r="F177" i="21" s="1"/>
  <c r="K177" i="21" s="1"/>
  <c r="L177" i="21" s="1"/>
  <c r="H176" i="21" a="1"/>
  <c r="H176" i="21" s="1"/>
  <c r="F176" i="21" a="1"/>
  <c r="F176" i="21" s="1"/>
  <c r="K176" i="21" s="1"/>
  <c r="L176" i="21" s="1"/>
  <c r="H175" i="21" a="1"/>
  <c r="H175" i="21" s="1"/>
  <c r="F175" i="21" a="1"/>
  <c r="F175" i="21" s="1"/>
  <c r="K175" i="21" s="1"/>
  <c r="L175" i="21" s="1"/>
  <c r="H174" i="21" a="1"/>
  <c r="H174" i="21" s="1"/>
  <c r="F174" i="21" a="1"/>
  <c r="F174" i="21" s="1"/>
  <c r="K174" i="21" s="1"/>
  <c r="L174" i="21" s="1"/>
  <c r="H173" i="21" a="1"/>
  <c r="H173" i="21" s="1"/>
  <c r="F173" i="21" a="1"/>
  <c r="F173" i="21" s="1"/>
  <c r="K173" i="21" s="1"/>
  <c r="L173" i="21" s="1"/>
  <c r="H172" i="21" a="1"/>
  <c r="H172" i="21" s="1"/>
  <c r="F172" i="21" a="1"/>
  <c r="F172" i="21" s="1"/>
  <c r="K172" i="21" s="1"/>
  <c r="L172" i="21" s="1"/>
  <c r="H171" i="21" a="1"/>
  <c r="H171" i="21" s="1"/>
  <c r="F171" i="21" a="1"/>
  <c r="F171" i="21" s="1"/>
  <c r="K171" i="21" s="1"/>
  <c r="L171" i="21" s="1"/>
  <c r="H170" i="21" a="1"/>
  <c r="H170" i="21" s="1"/>
  <c r="F170" i="21" a="1"/>
  <c r="F170" i="21" s="1"/>
  <c r="K170" i="21" s="1"/>
  <c r="L170" i="21" s="1"/>
  <c r="H169" i="21" a="1"/>
  <c r="H169" i="21" s="1"/>
  <c r="F169" i="21" a="1"/>
  <c r="F169" i="21" s="1"/>
  <c r="K169" i="21" s="1"/>
  <c r="L169" i="21" s="1"/>
  <c r="H168" i="21" a="1"/>
  <c r="H168" i="21" s="1"/>
  <c r="F168" i="21" a="1"/>
  <c r="F168" i="21" s="1"/>
  <c r="K168" i="21" s="1"/>
  <c r="L168" i="21" s="1"/>
  <c r="H167" i="21" a="1"/>
  <c r="H167" i="21" s="1"/>
  <c r="F167" i="21" a="1"/>
  <c r="F167" i="21" s="1"/>
  <c r="K167" i="21" s="1"/>
  <c r="H166" i="21" a="1"/>
  <c r="H166" i="21" s="1"/>
  <c r="F166" i="21" a="1"/>
  <c r="F166" i="21" s="1"/>
  <c r="K166" i="21" s="1"/>
  <c r="L166" i="21" s="1"/>
  <c r="H165" i="21" a="1"/>
  <c r="H165" i="21" s="1"/>
  <c r="F165" i="21" a="1"/>
  <c r="F165" i="21" s="1"/>
  <c r="K165" i="21" s="1"/>
  <c r="L165" i="21" s="1"/>
  <c r="H164" i="21" a="1"/>
  <c r="H164" i="21" s="1"/>
  <c r="F164" i="21" a="1"/>
  <c r="F164" i="21" s="1"/>
  <c r="K164" i="21" s="1"/>
  <c r="L164" i="21" s="1"/>
  <c r="H163" i="21" a="1"/>
  <c r="H163" i="21" s="1"/>
  <c r="F163" i="21" a="1"/>
  <c r="F163" i="21" s="1"/>
  <c r="K163" i="21" s="1"/>
  <c r="H162" i="21" a="1"/>
  <c r="H162" i="21" s="1"/>
  <c r="F162" i="21" a="1"/>
  <c r="F162" i="21" s="1"/>
  <c r="K162" i="21" s="1"/>
  <c r="H161" i="21" a="1"/>
  <c r="H161" i="21" s="1"/>
  <c r="F161" i="21" a="1"/>
  <c r="F161" i="21" s="1"/>
  <c r="K161" i="21" s="1"/>
  <c r="L161" i="21" s="1"/>
  <c r="H160" i="21" a="1"/>
  <c r="H160" i="21" s="1"/>
  <c r="F160" i="21" a="1"/>
  <c r="F160" i="21" s="1"/>
  <c r="K160" i="21" s="1"/>
  <c r="L160" i="21" s="1"/>
  <c r="H159" i="21" a="1"/>
  <c r="H159" i="21" s="1"/>
  <c r="F159" i="21" a="1"/>
  <c r="F159" i="21" s="1"/>
  <c r="K159" i="21" s="1"/>
  <c r="L159" i="21" s="1"/>
  <c r="H158" i="21" a="1"/>
  <c r="H158" i="21" s="1"/>
  <c r="F158" i="21" a="1"/>
  <c r="F158" i="21" s="1"/>
  <c r="K158" i="21" s="1"/>
  <c r="L158" i="21" s="1"/>
  <c r="H157" i="21" a="1"/>
  <c r="H157" i="21" s="1"/>
  <c r="F157" i="21" a="1"/>
  <c r="F157" i="21" s="1"/>
  <c r="K157" i="21" s="1"/>
  <c r="H156" i="21" a="1"/>
  <c r="H156" i="21" s="1"/>
  <c r="F156" i="21" a="1"/>
  <c r="F156" i="21" s="1"/>
  <c r="K156" i="21" s="1"/>
  <c r="H155" i="21" a="1"/>
  <c r="H155" i="21" s="1"/>
  <c r="F155" i="21" a="1"/>
  <c r="F155" i="21" s="1"/>
  <c r="K155" i="21" s="1"/>
  <c r="L155" i="21" s="1"/>
  <c r="H154" i="21" a="1"/>
  <c r="H154" i="21" s="1"/>
  <c r="F154" i="21" a="1"/>
  <c r="F154" i="21" s="1"/>
  <c r="K154" i="21" s="1"/>
  <c r="L154" i="21" s="1"/>
  <c r="H153" i="21" a="1"/>
  <c r="H153" i="21" s="1"/>
  <c r="F153" i="21" a="1"/>
  <c r="F153" i="21" s="1"/>
  <c r="K153" i="21" s="1"/>
  <c r="L153" i="21" s="1"/>
  <c r="H152" i="21" a="1"/>
  <c r="H152" i="21" s="1"/>
  <c r="F152" i="21" a="1"/>
  <c r="F152" i="21" s="1"/>
  <c r="K152" i="21" s="1"/>
  <c r="L152" i="21" s="1"/>
  <c r="H151" i="21" a="1"/>
  <c r="H151" i="21" s="1"/>
  <c r="F151" i="21" a="1"/>
  <c r="F151" i="21" s="1"/>
  <c r="K151" i="21" s="1"/>
  <c r="L151" i="21" s="1"/>
  <c r="H150" i="21" a="1"/>
  <c r="H150" i="21" s="1"/>
  <c r="F150" i="21" a="1"/>
  <c r="F150" i="21" s="1"/>
  <c r="K150" i="21" s="1"/>
  <c r="L150" i="21" s="1"/>
  <c r="H149" i="21" a="1"/>
  <c r="H149" i="21" s="1"/>
  <c r="F149" i="21" a="1"/>
  <c r="F149" i="21" s="1"/>
  <c r="K149" i="21" s="1"/>
  <c r="H148" i="21" a="1"/>
  <c r="H148" i="21" s="1"/>
  <c r="F148" i="21" a="1"/>
  <c r="F148" i="21" s="1"/>
  <c r="K148" i="21" s="1"/>
  <c r="H147" i="21" a="1"/>
  <c r="H147" i="21" s="1"/>
  <c r="F147" i="21" a="1"/>
  <c r="F147" i="21" s="1"/>
  <c r="K147" i="21" s="1"/>
  <c r="H146" i="21" a="1"/>
  <c r="H146" i="21" s="1"/>
  <c r="F146" i="21" a="1"/>
  <c r="F146" i="21" s="1"/>
  <c r="K146" i="21" s="1"/>
  <c r="L146" i="21" s="1"/>
  <c r="H145" i="21" a="1"/>
  <c r="H145" i="21" s="1"/>
  <c r="F145" i="21" a="1"/>
  <c r="F145" i="21" s="1"/>
  <c r="K145" i="21" s="1"/>
  <c r="H144" i="21" a="1"/>
  <c r="H144" i="21" s="1"/>
  <c r="F144" i="21" a="1"/>
  <c r="F144" i="21" s="1"/>
  <c r="K144" i="21" s="1"/>
  <c r="H143" i="21" a="1"/>
  <c r="H143" i="21" s="1"/>
  <c r="F143" i="21" a="1"/>
  <c r="F143" i="21" s="1"/>
  <c r="K143" i="21" s="1"/>
  <c r="L143" i="21" s="1"/>
  <c r="H142" i="21" a="1"/>
  <c r="H142" i="21" s="1"/>
  <c r="F142" i="21" a="1"/>
  <c r="F142" i="21" s="1"/>
  <c r="K142" i="21" s="1"/>
  <c r="L142" i="21" s="1"/>
  <c r="H141" i="21" a="1"/>
  <c r="H141" i="21" s="1"/>
  <c r="F141" i="21" a="1"/>
  <c r="F141" i="21" s="1"/>
  <c r="K141" i="21" s="1"/>
  <c r="H140" i="21" a="1"/>
  <c r="H140" i="21" s="1"/>
  <c r="F140" i="21" a="1"/>
  <c r="F140" i="21" s="1"/>
  <c r="K140" i="21" s="1"/>
  <c r="L140" i="21" s="1"/>
  <c r="H139" i="21" a="1"/>
  <c r="H139" i="21" s="1"/>
  <c r="F139" i="21" a="1"/>
  <c r="F139" i="21" s="1"/>
  <c r="K139" i="21" s="1"/>
  <c r="H138" i="21" a="1"/>
  <c r="H138" i="21" s="1"/>
  <c r="F138" i="21" a="1"/>
  <c r="F138" i="21" s="1"/>
  <c r="K138" i="21" s="1"/>
  <c r="L138" i="21" s="1"/>
  <c r="H137" i="21" a="1"/>
  <c r="H137" i="21" s="1"/>
  <c r="F137" i="21" a="1"/>
  <c r="F137" i="21" s="1"/>
  <c r="K137" i="21" s="1"/>
  <c r="H136" i="21" a="1"/>
  <c r="H136" i="21" s="1"/>
  <c r="F136" i="21" a="1"/>
  <c r="F136" i="21" s="1"/>
  <c r="K136" i="21" s="1"/>
  <c r="H135" i="21" a="1"/>
  <c r="H135" i="21" s="1"/>
  <c r="F135" i="21" a="1"/>
  <c r="F135" i="21" s="1"/>
  <c r="K135" i="21" s="1"/>
  <c r="L135" i="21" s="1"/>
  <c r="H134" i="21" a="1"/>
  <c r="H134" i="21" s="1"/>
  <c r="F134" i="21" a="1"/>
  <c r="F134" i="21" s="1"/>
  <c r="K134" i="21" s="1"/>
  <c r="L134" i="21" s="1"/>
  <c r="H133" i="21" a="1"/>
  <c r="H133" i="21" s="1"/>
  <c r="F133" i="21" a="1"/>
  <c r="F133" i="21" s="1"/>
  <c r="K133" i="21" s="1"/>
  <c r="H132" i="21" a="1"/>
  <c r="H132" i="21" s="1"/>
  <c r="F132" i="21" a="1"/>
  <c r="F132" i="21" s="1"/>
  <c r="K132" i="21" s="1"/>
  <c r="H131" i="21" a="1"/>
  <c r="H131" i="21" s="1"/>
  <c r="F131" i="21" a="1"/>
  <c r="F131" i="21" s="1"/>
  <c r="K131" i="21" s="1"/>
  <c r="H130" i="21" a="1"/>
  <c r="H130" i="21" s="1"/>
  <c r="F130" i="21" a="1"/>
  <c r="F130" i="21" s="1"/>
  <c r="K130" i="21" s="1"/>
  <c r="H129" i="21" a="1"/>
  <c r="H129" i="21" s="1"/>
  <c r="F129" i="21" a="1"/>
  <c r="F129" i="21" s="1"/>
  <c r="K129" i="21" s="1"/>
  <c r="L129" i="21" s="1"/>
  <c r="H128" i="21" a="1"/>
  <c r="H128" i="21" s="1"/>
  <c r="F128" i="21" a="1"/>
  <c r="F128" i="21" s="1"/>
  <c r="K128" i="21" s="1"/>
  <c r="H127" i="21" a="1"/>
  <c r="H127" i="21" s="1"/>
  <c r="F127" i="21" a="1"/>
  <c r="F127" i="21" s="1"/>
  <c r="K127" i="21" s="1"/>
  <c r="L127" i="21" s="1"/>
  <c r="H126" i="21" a="1"/>
  <c r="H126" i="21" s="1"/>
  <c r="F126" i="21" a="1"/>
  <c r="F126" i="21" s="1"/>
  <c r="K126" i="21" s="1"/>
  <c r="H125" i="21" a="1"/>
  <c r="H125" i="21" s="1"/>
  <c r="F125" i="21" a="1"/>
  <c r="F125" i="21" s="1"/>
  <c r="K125" i="21" s="1"/>
  <c r="H124" i="21" a="1"/>
  <c r="H124" i="21" s="1"/>
  <c r="F124" i="21" a="1"/>
  <c r="F124" i="21" s="1"/>
  <c r="K124" i="21" s="1"/>
  <c r="L124" i="21" s="1"/>
  <c r="H123" i="21" a="1"/>
  <c r="H123" i="21" s="1"/>
  <c r="F123" i="21" a="1"/>
  <c r="F123" i="21" s="1"/>
  <c r="K123" i="21" s="1"/>
  <c r="H122" i="21" a="1"/>
  <c r="H122" i="21"/>
  <c r="F122" i="21" a="1"/>
  <c r="F122" i="21"/>
  <c r="K122" i="21" s="1"/>
  <c r="L122" i="21" s="1"/>
  <c r="H121" i="21" a="1"/>
  <c r="H121" i="21"/>
  <c r="F121" i="21" a="1"/>
  <c r="F121" i="21"/>
  <c r="K121" i="21" s="1"/>
  <c r="L121" i="21" s="1"/>
  <c r="H120" i="21" a="1"/>
  <c r="H120" i="21"/>
  <c r="F120" i="21" a="1"/>
  <c r="F120" i="21"/>
  <c r="K120" i="21" s="1"/>
  <c r="L120" i="21" s="1"/>
  <c r="H119" i="21" a="1"/>
  <c r="H119" i="21"/>
  <c r="F119" i="21" a="1"/>
  <c r="F119" i="21"/>
  <c r="K119" i="21" s="1"/>
  <c r="L119" i="21" s="1"/>
  <c r="H118" i="21" a="1"/>
  <c r="H118" i="21"/>
  <c r="F118" i="21" a="1"/>
  <c r="F118" i="21"/>
  <c r="K118" i="21" s="1"/>
  <c r="L118" i="21" s="1"/>
  <c r="H117" i="21" a="1"/>
  <c r="H117" i="21"/>
  <c r="F117" i="21" a="1"/>
  <c r="F117" i="21"/>
  <c r="K117" i="21" s="1"/>
  <c r="L117" i="21" s="1"/>
  <c r="H116" i="21" a="1"/>
  <c r="H116" i="21"/>
  <c r="F116" i="21" a="1"/>
  <c r="F116" i="21"/>
  <c r="K116" i="21" s="1"/>
  <c r="L116" i="21" s="1"/>
  <c r="H115" i="21" a="1"/>
  <c r="H115" i="21"/>
  <c r="F115" i="21" a="1"/>
  <c r="F115" i="21"/>
  <c r="K115" i="21" s="1"/>
  <c r="L115" i="21" s="1"/>
  <c r="H114" i="21" a="1"/>
  <c r="H114" i="21"/>
  <c r="F114" i="21" a="1"/>
  <c r="F114" i="21"/>
  <c r="K114" i="21" s="1"/>
  <c r="L114" i="21" s="1"/>
  <c r="H113" i="21" a="1"/>
  <c r="H113" i="21"/>
  <c r="F113" i="21" a="1"/>
  <c r="F113" i="21"/>
  <c r="K113" i="21" s="1"/>
  <c r="L113" i="21" s="1"/>
  <c r="H112" i="21" a="1"/>
  <c r="H112" i="21"/>
  <c r="F112" i="21" a="1"/>
  <c r="F112" i="21"/>
  <c r="K112" i="21" s="1"/>
  <c r="L112" i="21" s="1"/>
  <c r="H111" i="21" a="1"/>
  <c r="H111" i="21"/>
  <c r="F111" i="21" a="1"/>
  <c r="F111" i="21"/>
  <c r="K111" i="21" s="1"/>
  <c r="L111" i="21" s="1"/>
  <c r="H110" i="21" a="1"/>
  <c r="H110" i="21"/>
  <c r="F110" i="21" a="1"/>
  <c r="F110" i="21"/>
  <c r="K110" i="21" s="1"/>
  <c r="L110" i="21" s="1"/>
  <c r="H109" i="21" a="1"/>
  <c r="H109" i="21"/>
  <c r="F109" i="21" a="1"/>
  <c r="F109" i="21"/>
  <c r="K109" i="21" s="1"/>
  <c r="L109" i="21" s="1"/>
  <c r="H108" i="21" a="1"/>
  <c r="H108" i="21"/>
  <c r="F108" i="21" a="1"/>
  <c r="F108" i="21"/>
  <c r="K108" i="21" s="1"/>
  <c r="L108" i="21" s="1"/>
  <c r="H107" i="21" a="1"/>
  <c r="H107" i="21"/>
  <c r="F107" i="21" a="1"/>
  <c r="F107" i="21"/>
  <c r="K107" i="21" s="1"/>
  <c r="L107" i="21" s="1"/>
  <c r="H106" i="21" a="1"/>
  <c r="H106" i="21"/>
  <c r="F106" i="21" a="1"/>
  <c r="F106" i="21"/>
  <c r="K106" i="21" s="1"/>
  <c r="L106" i="21" s="1"/>
  <c r="H105" i="21" a="1"/>
  <c r="H105" i="21"/>
  <c r="F105" i="21" a="1"/>
  <c r="F105" i="21"/>
  <c r="K105" i="21" s="1"/>
  <c r="L105" i="21" s="1"/>
  <c r="H104" i="21" a="1"/>
  <c r="H104" i="21"/>
  <c r="F104" i="21" a="1"/>
  <c r="F104" i="21"/>
  <c r="K104" i="21" s="1"/>
  <c r="L104" i="21" s="1"/>
  <c r="H103" i="21" a="1"/>
  <c r="H103" i="21"/>
  <c r="F103" i="21" a="1"/>
  <c r="F103" i="21"/>
  <c r="K103" i="21" s="1"/>
  <c r="L103" i="21" s="1"/>
  <c r="H102" i="21" a="1"/>
  <c r="H102" i="21"/>
  <c r="F102" i="21" a="1"/>
  <c r="F102" i="21"/>
  <c r="K102" i="21" s="1"/>
  <c r="L102" i="21" s="1"/>
  <c r="H101" i="21" a="1"/>
  <c r="H101" i="21"/>
  <c r="F101" i="21" a="1"/>
  <c r="F101" i="21"/>
  <c r="K101" i="21" s="1"/>
  <c r="L101" i="21" s="1"/>
  <c r="H100" i="21" a="1"/>
  <c r="H100" i="21"/>
  <c r="F100" i="21" a="1"/>
  <c r="F100" i="21"/>
  <c r="K100" i="21" s="1"/>
  <c r="L100" i="21" s="1"/>
  <c r="H99" i="21" a="1"/>
  <c r="H99" i="21"/>
  <c r="F99" i="21" a="1"/>
  <c r="F99" i="21"/>
  <c r="K99" i="21" s="1"/>
  <c r="L99" i="21" s="1"/>
  <c r="H98" i="21" a="1"/>
  <c r="H98" i="21"/>
  <c r="F98" i="21" a="1"/>
  <c r="F98" i="21"/>
  <c r="K98" i="21" s="1"/>
  <c r="L98" i="21" s="1"/>
  <c r="H97" i="21" a="1"/>
  <c r="H97" i="21"/>
  <c r="F97" i="21" a="1"/>
  <c r="F97" i="21"/>
  <c r="K97" i="21" s="1"/>
  <c r="L97" i="21" s="1"/>
  <c r="H96" i="21" a="1"/>
  <c r="H96" i="21"/>
  <c r="F96" i="21" a="1"/>
  <c r="F96" i="21"/>
  <c r="K96" i="21" s="1"/>
  <c r="L96" i="21" s="1"/>
  <c r="H95" i="21" a="1"/>
  <c r="H95" i="21"/>
  <c r="F95" i="21" a="1"/>
  <c r="F95" i="21"/>
  <c r="K95" i="21" s="1"/>
  <c r="L95" i="21" s="1"/>
  <c r="H94" i="21" a="1"/>
  <c r="H94" i="21"/>
  <c r="F94" i="21" a="1"/>
  <c r="F94" i="21"/>
  <c r="K94" i="21" s="1"/>
  <c r="L94" i="21" s="1"/>
  <c r="H93" i="21" a="1"/>
  <c r="H93" i="21"/>
  <c r="F93" i="21" a="1"/>
  <c r="F93" i="21"/>
  <c r="K93" i="21" s="1"/>
  <c r="L93" i="21" s="1"/>
  <c r="H92" i="21" a="1"/>
  <c r="H92" i="21"/>
  <c r="F92" i="21" a="1"/>
  <c r="F92" i="21"/>
  <c r="K92" i="21" s="1"/>
  <c r="L92" i="21" s="1"/>
  <c r="H91" i="21" a="1"/>
  <c r="H91" i="21"/>
  <c r="F91" i="21" a="1"/>
  <c r="F91" i="21"/>
  <c r="K91" i="21" s="1"/>
  <c r="L91" i="21" s="1"/>
  <c r="H90" i="21" a="1"/>
  <c r="H90" i="21"/>
  <c r="F90" i="21" a="1"/>
  <c r="F90" i="21"/>
  <c r="K90" i="21" s="1"/>
  <c r="L90" i="21" s="1"/>
  <c r="H89" i="21" a="1"/>
  <c r="H89" i="21"/>
  <c r="F89" i="21" a="1"/>
  <c r="F89" i="21"/>
  <c r="K89" i="21" s="1"/>
  <c r="L89" i="21" s="1"/>
  <c r="H88" i="21" a="1"/>
  <c r="H88" i="21"/>
  <c r="F88" i="21" a="1"/>
  <c r="F88" i="21"/>
  <c r="K88" i="21" s="1"/>
  <c r="L88" i="21" s="1"/>
  <c r="H87" i="21" a="1"/>
  <c r="H87" i="21"/>
  <c r="F87" i="21" a="1"/>
  <c r="F87" i="21"/>
  <c r="K87" i="21" s="1"/>
  <c r="L87" i="21" s="1"/>
  <c r="H86" i="21" a="1"/>
  <c r="H86" i="21"/>
  <c r="F86" i="21" a="1"/>
  <c r="F86" i="21"/>
  <c r="K86" i="21" s="1"/>
  <c r="L86" i="21" s="1"/>
  <c r="H85" i="21" a="1"/>
  <c r="H85" i="21"/>
  <c r="F85" i="21" a="1"/>
  <c r="F85" i="21" s="1"/>
  <c r="K85" i="21" s="1"/>
  <c r="L85" i="21" s="1"/>
  <c r="H84" i="21" a="1"/>
  <c r="H84" i="21" s="1"/>
  <c r="F84" i="21" a="1"/>
  <c r="F84" i="21" s="1"/>
  <c r="K84" i="21" s="1"/>
  <c r="L84" i="21" s="1"/>
  <c r="H83" i="21" a="1"/>
  <c r="H83" i="21" s="1"/>
  <c r="F83" i="21" a="1"/>
  <c r="F83" i="21" s="1"/>
  <c r="K83" i="21" s="1"/>
  <c r="L83" i="21" s="1"/>
  <c r="H82" i="21" a="1"/>
  <c r="H82" i="21" s="1"/>
  <c r="F82" i="21" a="1"/>
  <c r="F82" i="21" s="1"/>
  <c r="K82" i="21" s="1"/>
  <c r="L82" i="21" s="1"/>
  <c r="H81" i="21" a="1"/>
  <c r="H81" i="21" s="1"/>
  <c r="F81" i="21" a="1"/>
  <c r="F81" i="21" s="1"/>
  <c r="K81" i="21" s="1"/>
  <c r="L81" i="21" s="1"/>
  <c r="H80" i="21" a="1"/>
  <c r="H80" i="21" s="1"/>
  <c r="F80" i="21" a="1"/>
  <c r="F80" i="21" s="1"/>
  <c r="K80" i="21" s="1"/>
  <c r="L80" i="21" s="1"/>
  <c r="H79" i="21" a="1"/>
  <c r="H79" i="21" s="1"/>
  <c r="F79" i="21" a="1"/>
  <c r="F79" i="21" s="1"/>
  <c r="K79" i="21" s="1"/>
  <c r="L79" i="21" s="1"/>
  <c r="H78" i="21" a="1"/>
  <c r="H78" i="21" s="1"/>
  <c r="F78" i="21" a="1"/>
  <c r="F78" i="21" s="1"/>
  <c r="K78" i="21" s="1"/>
  <c r="L78" i="21" s="1"/>
  <c r="H77" i="21" a="1"/>
  <c r="H77" i="21" s="1"/>
  <c r="F77" i="21" a="1"/>
  <c r="F77" i="21" s="1"/>
  <c r="K77" i="21" s="1"/>
  <c r="L77" i="21" s="1"/>
  <c r="H76" i="21" a="1"/>
  <c r="H76" i="21" s="1"/>
  <c r="F76" i="21" a="1"/>
  <c r="F76" i="21" s="1"/>
  <c r="K76" i="21" s="1"/>
  <c r="L76" i="21" s="1"/>
  <c r="H75" i="21" a="1"/>
  <c r="H75" i="21" s="1"/>
  <c r="F75" i="21" a="1"/>
  <c r="F75" i="21" s="1"/>
  <c r="K75" i="21" s="1"/>
  <c r="L75" i="21" s="1"/>
  <c r="H74" i="21" a="1"/>
  <c r="H74" i="21" s="1"/>
  <c r="F74" i="21" a="1"/>
  <c r="F74" i="21" s="1"/>
  <c r="K74" i="21" s="1"/>
  <c r="L74" i="21" s="1"/>
  <c r="H73" i="21" a="1"/>
  <c r="H73" i="21" s="1"/>
  <c r="F73" i="21" a="1"/>
  <c r="F73" i="21" s="1"/>
  <c r="K73" i="21" s="1"/>
  <c r="L73" i="21" s="1"/>
  <c r="H72" i="21" a="1"/>
  <c r="H72" i="21" s="1"/>
  <c r="F72" i="21" a="1"/>
  <c r="F72" i="21" s="1"/>
  <c r="K72" i="21" s="1"/>
  <c r="L72" i="21" s="1"/>
  <c r="H71" i="21" a="1"/>
  <c r="H71" i="21" s="1"/>
  <c r="F71" i="21" a="1"/>
  <c r="F71" i="21" s="1"/>
  <c r="K71" i="21" s="1"/>
  <c r="L71" i="21" s="1"/>
  <c r="H70" i="21" a="1"/>
  <c r="H70" i="21" s="1"/>
  <c r="F70" i="21" a="1"/>
  <c r="F70" i="21" s="1"/>
  <c r="K70" i="21" s="1"/>
  <c r="L70" i="21" s="1"/>
  <c r="H69" i="21" a="1"/>
  <c r="H69" i="21" s="1"/>
  <c r="F69" i="21" a="1"/>
  <c r="F69" i="21" s="1"/>
  <c r="K69" i="21" s="1"/>
  <c r="L69" i="21" s="1"/>
  <c r="H68" i="21" a="1"/>
  <c r="H68" i="21" s="1"/>
  <c r="F68" i="21" a="1"/>
  <c r="F68" i="21" s="1"/>
  <c r="K68" i="21" s="1"/>
  <c r="L68" i="21" s="1"/>
  <c r="H67" i="21" a="1"/>
  <c r="H67" i="21" s="1"/>
  <c r="F67" i="21" a="1"/>
  <c r="F67" i="21" s="1"/>
  <c r="K67" i="21" s="1"/>
  <c r="L67" i="21" s="1"/>
  <c r="H66" i="21" a="1"/>
  <c r="H66" i="21" s="1"/>
  <c r="F66" i="21" a="1"/>
  <c r="F66" i="21" s="1"/>
  <c r="K66" i="21" s="1"/>
  <c r="L66" i="21" s="1"/>
  <c r="H65" i="21" a="1"/>
  <c r="H65" i="21" s="1"/>
  <c r="F65" i="21" a="1"/>
  <c r="F65" i="21" s="1"/>
  <c r="K65" i="21" s="1"/>
  <c r="L65" i="21" s="1"/>
  <c r="H64" i="21" a="1"/>
  <c r="H64" i="21" s="1"/>
  <c r="F64" i="21" a="1"/>
  <c r="F64" i="21" s="1"/>
  <c r="K64" i="21" s="1"/>
  <c r="L64" i="21" s="1"/>
  <c r="H63" i="21" a="1"/>
  <c r="H63" i="21" s="1"/>
  <c r="F63" i="21" a="1"/>
  <c r="F63" i="21" s="1"/>
  <c r="K63" i="21" s="1"/>
  <c r="L63" i="21" s="1"/>
  <c r="H62" i="21" a="1"/>
  <c r="H62" i="21" s="1"/>
  <c r="F62" i="21" a="1"/>
  <c r="F62" i="21" s="1"/>
  <c r="K62" i="21" s="1"/>
  <c r="L62" i="21" s="1"/>
  <c r="H61" i="21" a="1"/>
  <c r="H61" i="21" s="1"/>
  <c r="F61" i="21" a="1"/>
  <c r="F61" i="21" s="1"/>
  <c r="K61" i="21" s="1"/>
  <c r="L61" i="21" s="1"/>
  <c r="H60" i="21" a="1"/>
  <c r="H60" i="21" s="1"/>
  <c r="F60" i="21" a="1"/>
  <c r="F60" i="21" s="1"/>
  <c r="K60" i="21" s="1"/>
  <c r="L60" i="21" s="1"/>
  <c r="H59" i="21" a="1"/>
  <c r="H59" i="21" s="1"/>
  <c r="F59" i="21" a="1"/>
  <c r="F59" i="21" s="1"/>
  <c r="K59" i="21" s="1"/>
  <c r="L59" i="21" s="1"/>
  <c r="H58" i="21" a="1"/>
  <c r="H58" i="21" s="1"/>
  <c r="F58" i="21" a="1"/>
  <c r="F58" i="21" s="1"/>
  <c r="K58" i="21" s="1"/>
  <c r="L58" i="21" s="1"/>
  <c r="H57" i="21" a="1"/>
  <c r="H57" i="21" s="1"/>
  <c r="F57" i="21" a="1"/>
  <c r="F57" i="21" s="1"/>
  <c r="K57" i="21" s="1"/>
  <c r="L57" i="21" s="1"/>
  <c r="H56" i="21" a="1"/>
  <c r="H56" i="21" s="1"/>
  <c r="F56" i="21" a="1"/>
  <c r="F56" i="21" s="1"/>
  <c r="K56" i="21" s="1"/>
  <c r="L56" i="21" s="1"/>
  <c r="H55" i="21" a="1"/>
  <c r="H55" i="21" s="1"/>
  <c r="F55" i="21" a="1"/>
  <c r="F55" i="21" s="1"/>
  <c r="K55" i="21" s="1"/>
  <c r="L55" i="21" s="1"/>
  <c r="H54" i="21" a="1"/>
  <c r="H54" i="21" s="1"/>
  <c r="F54" i="21" a="1"/>
  <c r="F54" i="21" s="1"/>
  <c r="K54" i="21" s="1"/>
  <c r="L54" i="21" s="1"/>
  <c r="H53" i="21" a="1"/>
  <c r="H53" i="21" s="1"/>
  <c r="F53" i="21" a="1"/>
  <c r="F53" i="21" s="1"/>
  <c r="K53" i="21" s="1"/>
  <c r="L53" i="21" s="1"/>
  <c r="H52" i="21" a="1"/>
  <c r="H52" i="21" s="1"/>
  <c r="F52" i="21" a="1"/>
  <c r="F52" i="21" s="1"/>
  <c r="K52" i="21" s="1"/>
  <c r="L52" i="21" s="1"/>
  <c r="H51" i="21" a="1"/>
  <c r="H51" i="21" s="1"/>
  <c r="F51" i="21" a="1"/>
  <c r="F51" i="21" s="1"/>
  <c r="K51" i="21" s="1"/>
  <c r="L51" i="21" s="1"/>
  <c r="H50" i="21" a="1"/>
  <c r="H50" i="21" s="1"/>
  <c r="F50" i="21" a="1"/>
  <c r="F50" i="21" s="1"/>
  <c r="K50" i="21" s="1"/>
  <c r="L50" i="21" s="1"/>
  <c r="H49" i="21" a="1"/>
  <c r="H49" i="21" s="1"/>
  <c r="F49" i="21" a="1"/>
  <c r="F49" i="21" s="1"/>
  <c r="K49" i="21" s="1"/>
  <c r="L49" i="21" s="1"/>
  <c r="H48" i="21" a="1"/>
  <c r="H48" i="21" s="1"/>
  <c r="F48" i="21" a="1"/>
  <c r="F48" i="21" s="1"/>
  <c r="K48" i="21" s="1"/>
  <c r="L48" i="21" s="1"/>
  <c r="H47" i="21" a="1"/>
  <c r="H47" i="21" s="1"/>
  <c r="F47" i="21" a="1"/>
  <c r="F47" i="21" s="1"/>
  <c r="K47" i="21" s="1"/>
  <c r="L47" i="21" s="1"/>
  <c r="H46" i="21" a="1"/>
  <c r="H46" i="21" s="1"/>
  <c r="F46" i="21" a="1"/>
  <c r="F46" i="21" s="1"/>
  <c r="K46" i="21" s="1"/>
  <c r="L46" i="21" s="1"/>
  <c r="H45" i="21" a="1"/>
  <c r="H45" i="21" s="1"/>
  <c r="F45" i="21" a="1"/>
  <c r="F45" i="21" s="1"/>
  <c r="K45" i="21" s="1"/>
  <c r="L45" i="21" s="1"/>
  <c r="H44" i="21" a="1"/>
  <c r="H44" i="21" s="1"/>
  <c r="F44" i="21" a="1"/>
  <c r="F44" i="21" s="1"/>
  <c r="K44" i="21" s="1"/>
  <c r="L44" i="21" s="1"/>
  <c r="H43" i="21" a="1"/>
  <c r="H43" i="21" s="1"/>
  <c r="F43" i="21" a="1"/>
  <c r="F43" i="21" s="1"/>
  <c r="K43" i="21" s="1"/>
  <c r="L43" i="21" s="1"/>
  <c r="H42" i="21" a="1"/>
  <c r="H42" i="21" s="1"/>
  <c r="F42" i="21" a="1"/>
  <c r="F42" i="21" s="1"/>
  <c r="K42" i="21" s="1"/>
  <c r="L42" i="21" s="1"/>
  <c r="H41" i="21" a="1"/>
  <c r="H41" i="21" s="1"/>
  <c r="F41" i="21" a="1"/>
  <c r="F41" i="21" s="1"/>
  <c r="K41" i="21" s="1"/>
  <c r="L41" i="21" s="1"/>
  <c r="H40" i="21" a="1"/>
  <c r="H40" i="21" s="1"/>
  <c r="F40" i="21" a="1"/>
  <c r="F40" i="21" s="1"/>
  <c r="K40" i="21" s="1"/>
  <c r="L40" i="21" s="1"/>
  <c r="H39" i="21" a="1"/>
  <c r="H39" i="21" s="1"/>
  <c r="F39" i="21" a="1"/>
  <c r="F39" i="21" s="1"/>
  <c r="K39" i="21" s="1"/>
  <c r="L39" i="21" s="1"/>
  <c r="H38" i="21" a="1"/>
  <c r="H38" i="21" s="1"/>
  <c r="F38" i="21" a="1"/>
  <c r="F38" i="21" s="1"/>
  <c r="K38" i="21" s="1"/>
  <c r="L38" i="21" s="1"/>
  <c r="H37" i="21" a="1"/>
  <c r="H37" i="21" s="1"/>
  <c r="F37" i="21" a="1"/>
  <c r="F37" i="21" s="1"/>
  <c r="K37" i="21" s="1"/>
  <c r="L37" i="21" s="1"/>
  <c r="H36" i="21" a="1"/>
  <c r="H36" i="21" s="1"/>
  <c r="F36" i="21" a="1"/>
  <c r="F36" i="21" s="1"/>
  <c r="K36" i="21" s="1"/>
  <c r="L36" i="21" s="1"/>
  <c r="H35" i="21" a="1"/>
  <c r="H35" i="21" s="1"/>
  <c r="F35" i="21" a="1"/>
  <c r="F35" i="21" s="1"/>
  <c r="K35" i="21" s="1"/>
  <c r="L35" i="21" s="1"/>
  <c r="H34" i="21" a="1"/>
  <c r="H34" i="21" s="1"/>
  <c r="F34" i="21" a="1"/>
  <c r="F34" i="21" s="1"/>
  <c r="K34" i="21" s="1"/>
  <c r="L34" i="21" s="1"/>
  <c r="H33" i="21" a="1"/>
  <c r="H33" i="21" s="1"/>
  <c r="F33" i="21" a="1"/>
  <c r="F33" i="21" s="1"/>
  <c r="K33" i="21" s="1"/>
  <c r="L33" i="21" s="1"/>
  <c r="H32" i="21" a="1"/>
  <c r="H32" i="21" s="1"/>
  <c r="F32" i="21" a="1"/>
  <c r="F32" i="21" s="1"/>
  <c r="K32" i="21" s="1"/>
  <c r="L32" i="21" s="1"/>
  <c r="H31" i="21" a="1"/>
  <c r="H31" i="21" s="1"/>
  <c r="F31" i="21" a="1"/>
  <c r="F31" i="21" s="1"/>
  <c r="K31" i="21" s="1"/>
  <c r="L31" i="21" s="1"/>
  <c r="H30" i="21" a="1"/>
  <c r="H30" i="21" s="1"/>
  <c r="F30" i="21" a="1"/>
  <c r="F30" i="21" s="1"/>
  <c r="K30" i="21" s="1"/>
  <c r="L30" i="21" s="1"/>
  <c r="H29" i="21" a="1"/>
  <c r="H29" i="21" s="1"/>
  <c r="F29" i="21" a="1"/>
  <c r="F29" i="21" s="1"/>
  <c r="K29" i="21" s="1"/>
  <c r="L29" i="21" s="1"/>
  <c r="H28" i="21" a="1"/>
  <c r="H28" i="21" s="1"/>
  <c r="F28" i="21" a="1"/>
  <c r="F28" i="21" s="1"/>
  <c r="K28" i="21" s="1"/>
  <c r="L28" i="21" s="1"/>
  <c r="H27" i="21" a="1"/>
  <c r="H27" i="21" s="1"/>
  <c r="F27" i="21" a="1"/>
  <c r="F27" i="21" s="1"/>
  <c r="K27" i="21" s="1"/>
  <c r="L27" i="21" s="1"/>
  <c r="H26" i="21" a="1"/>
  <c r="H26" i="21" s="1"/>
  <c r="F26" i="21" a="1"/>
  <c r="F26" i="21" s="1"/>
  <c r="K26" i="21" s="1"/>
  <c r="L26" i="21" s="1"/>
  <c r="H25" i="21" a="1"/>
  <c r="H25" i="21" s="1"/>
  <c r="F25" i="21" a="1"/>
  <c r="F25" i="21" s="1"/>
  <c r="K25" i="21" s="1"/>
  <c r="L25" i="21" s="1"/>
  <c r="H24" i="21" a="1"/>
  <c r="H24" i="21" s="1"/>
  <c r="F24" i="21" a="1"/>
  <c r="F24" i="21" s="1"/>
  <c r="K24" i="21" s="1"/>
  <c r="L24" i="21" s="1"/>
  <c r="H23" i="21" a="1"/>
  <c r="H23" i="21" s="1"/>
  <c r="F23" i="21" a="1"/>
  <c r="F23" i="21" s="1"/>
  <c r="K23" i="21" s="1"/>
  <c r="L23" i="21" s="1"/>
  <c r="H22" i="21" a="1"/>
  <c r="H22" i="21" s="1"/>
  <c r="F22" i="21" a="1"/>
  <c r="F22" i="21" s="1"/>
  <c r="K22" i="21" s="1"/>
  <c r="L22" i="21" s="1"/>
  <c r="H21" i="21" a="1"/>
  <c r="H21" i="21" s="1"/>
  <c r="F21" i="21" a="1"/>
  <c r="F21" i="21" s="1"/>
  <c r="K21" i="21" s="1"/>
  <c r="L21" i="21" s="1"/>
  <c r="H20" i="21" a="1"/>
  <c r="H20" i="21" s="1"/>
  <c r="F20" i="21" a="1"/>
  <c r="F20" i="21" s="1"/>
  <c r="K20" i="21" s="1"/>
  <c r="L20" i="21" s="1"/>
  <c r="H19" i="21" a="1"/>
  <c r="H19" i="21" s="1"/>
  <c r="F19" i="21" a="1"/>
  <c r="F19" i="21" s="1"/>
  <c r="K19" i="21" s="1"/>
  <c r="L19" i="21" s="1"/>
  <c r="H18" i="21" a="1"/>
  <c r="H18" i="21" s="1"/>
  <c r="F18" i="21" a="1"/>
  <c r="F18" i="21" s="1"/>
  <c r="K18" i="21" s="1"/>
  <c r="L18" i="21" s="1"/>
  <c r="H17" i="21" a="1"/>
  <c r="H17" i="21" s="1"/>
  <c r="F17" i="21" a="1"/>
  <c r="F17" i="21" s="1"/>
  <c r="K17" i="21" s="1"/>
  <c r="L17" i="21" s="1"/>
  <c r="H16" i="21" a="1"/>
  <c r="H16" i="21" s="1"/>
  <c r="F16" i="21" a="1"/>
  <c r="F16" i="21" s="1"/>
  <c r="K16" i="21" s="1"/>
  <c r="L16" i="21" s="1"/>
  <c r="H15" i="21" a="1"/>
  <c r="H15" i="21" s="1"/>
  <c r="F15" i="21" a="1"/>
  <c r="F15" i="21" s="1"/>
  <c r="K15" i="21" s="1"/>
  <c r="L15" i="21" s="1"/>
  <c r="H14" i="21" a="1"/>
  <c r="H14" i="21" s="1"/>
  <c r="F14" i="21" a="1"/>
  <c r="F14" i="21" s="1"/>
  <c r="K14" i="21" s="1"/>
  <c r="L14" i="21" s="1"/>
  <c r="H13" i="21" a="1"/>
  <c r="H13" i="21" s="1"/>
  <c r="F13" i="21" a="1"/>
  <c r="F13" i="21" s="1"/>
  <c r="K13" i="21" s="1"/>
  <c r="L13" i="21" s="1"/>
  <c r="H12" i="21" a="1"/>
  <c r="H12" i="21" s="1"/>
  <c r="F12" i="21" a="1"/>
  <c r="F12" i="21" s="1"/>
  <c r="K12" i="21" s="1"/>
  <c r="L12" i="21" s="1"/>
  <c r="H11" i="21" a="1"/>
  <c r="H11" i="21"/>
  <c r="F11" i="21" a="1"/>
  <c r="F11" i="21"/>
  <c r="K11" i="21" s="1"/>
  <c r="L11" i="21" s="1"/>
  <c r="H10" i="21" a="1"/>
  <c r="H10" i="21"/>
  <c r="F10" i="21" a="1"/>
  <c r="F10" i="21"/>
  <c r="K10" i="21" s="1"/>
  <c r="L10" i="21" s="1"/>
  <c r="H9" i="21" a="1"/>
  <c r="H9" i="21"/>
  <c r="F9" i="21" a="1"/>
  <c r="F9" i="21"/>
  <c r="K9" i="21" s="1"/>
  <c r="L9" i="21" s="1"/>
  <c r="H8" i="21" a="1"/>
  <c r="H8" i="21"/>
  <c r="F8" i="21" a="1"/>
  <c r="F8" i="21"/>
  <c r="K8" i="21" s="1"/>
  <c r="L8" i="21" s="1"/>
  <c r="H7" i="21" a="1"/>
  <c r="H7" i="21"/>
  <c r="F7" i="21" a="1"/>
  <c r="F7" i="21"/>
  <c r="K7" i="21" s="1"/>
  <c r="L7" i="21" s="1"/>
  <c r="H6" i="21" a="1"/>
  <c r="H6" i="21"/>
  <c r="F6" i="21" a="1"/>
  <c r="F6" i="21"/>
  <c r="K6" i="21" s="1"/>
  <c r="L6" i="21" s="1"/>
  <c r="H5" i="21" a="1"/>
  <c r="H5" i="21"/>
  <c r="F5" i="21" a="1"/>
  <c r="F5" i="21"/>
  <c r="K5" i="21" s="1"/>
  <c r="L5" i="21" s="1"/>
  <c r="H4" i="21" a="1"/>
  <c r="H4" i="21"/>
  <c r="F4" i="21" a="1"/>
  <c r="F4" i="21"/>
  <c r="K4" i="21" s="1"/>
  <c r="L4" i="21" s="1"/>
  <c r="H3" i="21" a="1"/>
  <c r="H3" i="21"/>
  <c r="F3" i="21" a="1"/>
  <c r="F3" i="21"/>
  <c r="K3" i="21" s="1"/>
  <c r="L3" i="21" s="1"/>
  <c r="H2" i="21" a="1"/>
  <c r="H2" i="21"/>
  <c r="F2" i="21" a="1"/>
  <c r="F2" i="21"/>
  <c r="K2" i="21" s="1"/>
  <c r="G16" i="20"/>
  <c r="H16" i="20" s="1"/>
  <c r="I16" i="20" s="1"/>
  <c r="H15" i="20"/>
  <c r="I15" i="20" s="1"/>
  <c r="H14" i="20"/>
  <c r="I14" i="20" s="1"/>
  <c r="I19" i="20" s="1"/>
  <c r="E43" i="19"/>
  <c r="F43" i="19" s="1"/>
  <c r="E42" i="19"/>
  <c r="F42" i="19" s="1"/>
  <c r="I37" i="19"/>
  <c r="K36" i="19"/>
  <c r="K35" i="19"/>
  <c r="K34" i="19"/>
  <c r="K33" i="19"/>
  <c r="K32" i="19"/>
  <c r="K31" i="19"/>
  <c r="K30" i="19"/>
  <c r="K29" i="19"/>
  <c r="K28" i="19"/>
  <c r="K27" i="19"/>
  <c r="K26" i="19"/>
  <c r="K25" i="19"/>
  <c r="K24" i="19"/>
  <c r="K23" i="19"/>
  <c r="K22" i="19"/>
  <c r="K21" i="19"/>
  <c r="K20" i="19"/>
  <c r="K19" i="19"/>
  <c r="K18" i="19"/>
  <c r="K17" i="19"/>
  <c r="K16" i="19"/>
  <c r="K15" i="19"/>
  <c r="K14" i="19"/>
  <c r="K37" i="19" s="1"/>
  <c r="F44" i="18"/>
  <c r="G44" i="18" s="1"/>
  <c r="E44" i="18"/>
  <c r="G36" i="18"/>
  <c r="G35" i="18"/>
  <c r="G34" i="18"/>
  <c r="G33" i="18"/>
  <c r="G32" i="18"/>
  <c r="G31" i="18"/>
  <c r="G30" i="18"/>
  <c r="G29" i="18"/>
  <c r="G28" i="18"/>
  <c r="G27" i="18"/>
  <c r="L26" i="18"/>
  <c r="M26" i="18" s="1"/>
  <c r="G26" i="18"/>
  <c r="L25" i="18"/>
  <c r="M25" i="18" s="1"/>
  <c r="G25" i="18"/>
  <c r="L24" i="18"/>
  <c r="M24" i="18" s="1"/>
  <c r="G24" i="18"/>
  <c r="L23" i="18"/>
  <c r="M23" i="18" s="1"/>
  <c r="G23" i="18"/>
  <c r="L22" i="18"/>
  <c r="M22" i="18" s="1"/>
  <c r="G22" i="18"/>
  <c r="L21" i="18"/>
  <c r="M21" i="18" s="1"/>
  <c r="G21" i="18"/>
  <c r="L20" i="18"/>
  <c r="M20" i="18" s="1"/>
  <c r="G20" i="18"/>
  <c r="L19" i="18"/>
  <c r="M19" i="18" s="1"/>
  <c r="G19" i="18"/>
  <c r="L18" i="18"/>
  <c r="M18" i="18" s="1"/>
  <c r="G18" i="18"/>
  <c r="L17" i="18"/>
  <c r="M17" i="18" s="1"/>
  <c r="G17" i="18"/>
  <c r="L16" i="18"/>
  <c r="M16" i="18" s="1"/>
  <c r="G16" i="18"/>
  <c r="L15" i="18"/>
  <c r="M15" i="18" s="1"/>
  <c r="G15" i="18"/>
  <c r="L14" i="18"/>
  <c r="M14" i="18" s="1"/>
  <c r="G14" i="18"/>
  <c r="L13" i="18"/>
  <c r="M13" i="18" s="1"/>
  <c r="M28" i="18" s="1"/>
  <c r="G13" i="18"/>
  <c r="G37" i="18" s="1"/>
  <c r="E41" i="17"/>
  <c r="F41" i="17" s="1"/>
  <c r="E40" i="17"/>
  <c r="F40" i="17" s="1"/>
  <c r="J36" i="17"/>
  <c r="J35" i="17"/>
  <c r="J34" i="17"/>
  <c r="J33" i="17"/>
  <c r="J32" i="17"/>
  <c r="J31" i="17"/>
  <c r="J30" i="17"/>
  <c r="J29" i="17"/>
  <c r="J28" i="17"/>
  <c r="J27" i="17"/>
  <c r="J26" i="17"/>
  <c r="J25" i="17"/>
  <c r="J24" i="17"/>
  <c r="J23" i="17"/>
  <c r="J22" i="17"/>
  <c r="J21" i="17"/>
  <c r="J20" i="17"/>
  <c r="J19" i="17"/>
  <c r="J18" i="17"/>
  <c r="J17" i="17"/>
  <c r="J16" i="17"/>
  <c r="J15" i="17"/>
  <c r="J14" i="17"/>
  <c r="J37" i="17" s="1"/>
  <c r="C252" i="16"/>
  <c r="D252" i="16" s="1"/>
  <c r="D251" i="16"/>
  <c r="D250" i="16"/>
  <c r="D249" i="16"/>
  <c r="D248" i="16"/>
  <c r="D247" i="16"/>
  <c r="D246" i="16"/>
  <c r="D245" i="16"/>
  <c r="D244" i="16"/>
  <c r="D243" i="16"/>
  <c r="D242" i="16"/>
  <c r="D241" i="16"/>
  <c r="D240" i="16"/>
  <c r="D239" i="16"/>
  <c r="D238" i="16"/>
  <c r="D237" i="16"/>
  <c r="D236" i="16"/>
  <c r="D235" i="16"/>
  <c r="D234" i="16"/>
  <c r="D233" i="16"/>
  <c r="D232" i="16"/>
  <c r="D231" i="16"/>
  <c r="D230" i="16"/>
  <c r="D229" i="16"/>
  <c r="D228" i="16"/>
  <c r="D227" i="16"/>
  <c r="D226" i="16"/>
  <c r="D225" i="16"/>
  <c r="D224" i="16"/>
  <c r="D223" i="16"/>
  <c r="D222" i="16"/>
  <c r="D221" i="16"/>
  <c r="D220" i="16"/>
  <c r="D219" i="16"/>
  <c r="D218" i="16"/>
  <c r="D217" i="16"/>
  <c r="D216" i="16"/>
  <c r="D215" i="16"/>
  <c r="D214" i="16"/>
  <c r="D213" i="16"/>
  <c r="D212" i="16"/>
  <c r="D211" i="16"/>
  <c r="D210" i="16"/>
  <c r="D209" i="16"/>
  <c r="D208" i="16"/>
  <c r="D207" i="16"/>
  <c r="D206" i="16"/>
  <c r="D205" i="16"/>
  <c r="D204" i="16"/>
  <c r="D203" i="16"/>
  <c r="D202" i="16"/>
  <c r="D201" i="16"/>
  <c r="D200" i="16"/>
  <c r="D199" i="16"/>
  <c r="D198" i="16"/>
  <c r="D197"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D158" i="16"/>
  <c r="D157"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E38" i="16"/>
  <c r="F38" i="16" s="1"/>
  <c r="L31" i="16"/>
  <c r="D37" i="16" s="1"/>
  <c r="K31" i="16"/>
  <c r="M30" i="16"/>
  <c r="M29" i="16"/>
  <c r="M28" i="16"/>
  <c r="M27" i="16"/>
  <c r="M26" i="16"/>
  <c r="M25" i="16"/>
  <c r="M24" i="16"/>
  <c r="M23" i="16"/>
  <c r="M31" i="16" s="1"/>
  <c r="J18" i="16"/>
  <c r="I18" i="16"/>
  <c r="H18" i="16"/>
  <c r="J17" i="16"/>
  <c r="I17" i="16"/>
  <c r="H17" i="16"/>
  <c r="D17" i="16"/>
  <c r="C17" i="16"/>
  <c r="C37" i="16" s="1"/>
  <c r="B17" i="16"/>
  <c r="C36" i="16" s="1"/>
  <c r="J16" i="16"/>
  <c r="I16" i="16"/>
  <c r="H16" i="16"/>
  <c r="E16" i="16"/>
  <c r="E17" i="16" s="1"/>
  <c r="J15" i="16"/>
  <c r="I15" i="16"/>
  <c r="I19" i="16" s="1"/>
  <c r="H15" i="16"/>
  <c r="E15" i="16"/>
  <c r="M40" i="15"/>
  <c r="I40" i="15"/>
  <c r="E40" i="15"/>
  <c r="M39" i="15"/>
  <c r="I39" i="15"/>
  <c r="E39" i="15"/>
  <c r="M38" i="15"/>
  <c r="I38" i="15"/>
  <c r="E38" i="15"/>
  <c r="M37" i="15"/>
  <c r="E37" i="15"/>
  <c r="M36" i="15"/>
  <c r="E36" i="15"/>
  <c r="M24" i="15"/>
  <c r="I24" i="15"/>
  <c r="E24" i="15"/>
  <c r="M23" i="15"/>
  <c r="I23" i="15"/>
  <c r="E23" i="15"/>
  <c r="M22" i="15"/>
  <c r="I22" i="15"/>
  <c r="E22" i="15"/>
  <c r="M21" i="15"/>
  <c r="I21" i="15"/>
  <c r="E21" i="15"/>
  <c r="M20" i="15"/>
  <c r="I20" i="15"/>
  <c r="E20" i="15"/>
  <c r="M19" i="15"/>
  <c r="I19" i="15"/>
  <c r="E19" i="15"/>
  <c r="M18" i="15"/>
  <c r="I18" i="15"/>
  <c r="E18" i="15"/>
  <c r="M17" i="15"/>
  <c r="I17" i="15"/>
  <c r="E17" i="15"/>
  <c r="M16" i="15"/>
  <c r="I16" i="15"/>
  <c r="E16" i="15"/>
  <c r="V15" i="15"/>
  <c r="M15" i="15"/>
  <c r="E15" i="15"/>
  <c r="M14" i="15"/>
  <c r="E14" i="15"/>
  <c r="G141" i="14"/>
  <c r="G140" i="14"/>
  <c r="D140" i="14"/>
  <c r="E140" i="14" s="1"/>
  <c r="C140" i="14"/>
  <c r="G139" i="14"/>
  <c r="D139" i="14"/>
  <c r="E139" i="14" s="1"/>
  <c r="C139" i="14"/>
  <c r="G138" i="14"/>
  <c r="D138" i="14"/>
  <c r="E138" i="14" s="1"/>
  <c r="C138" i="14"/>
  <c r="G137" i="14"/>
  <c r="D137" i="14"/>
  <c r="E137" i="14" s="1"/>
  <c r="C137" i="14"/>
  <c r="G136" i="14"/>
  <c r="D136" i="14"/>
  <c r="E136" i="14" s="1"/>
  <c r="C136" i="14"/>
  <c r="D135" i="14"/>
  <c r="E135" i="14" s="1"/>
  <c r="C135" i="14"/>
  <c r="G133" i="14"/>
  <c r="D133" i="14"/>
  <c r="E133" i="14" s="1"/>
  <c r="C133" i="14"/>
  <c r="G132" i="14"/>
  <c r="D132" i="14"/>
  <c r="E132" i="14" s="1"/>
  <c r="C132" i="14"/>
  <c r="G131" i="14"/>
  <c r="D131" i="14"/>
  <c r="E131" i="14" s="1"/>
  <c r="C131" i="14"/>
  <c r="G130" i="14"/>
  <c r="D130" i="14"/>
  <c r="E130" i="14" s="1"/>
  <c r="C130" i="14"/>
  <c r="G129" i="14"/>
  <c r="D129" i="14"/>
  <c r="E129" i="14" s="1"/>
  <c r="C129" i="14"/>
  <c r="G128" i="14"/>
  <c r="D128" i="14"/>
  <c r="E128" i="14" s="1"/>
  <c r="C128" i="14"/>
  <c r="G127" i="14"/>
  <c r="D127" i="14"/>
  <c r="E127" i="14" s="1"/>
  <c r="C127" i="14"/>
  <c r="G126" i="14"/>
  <c r="D126" i="14"/>
  <c r="E126" i="14" s="1"/>
  <c r="C126" i="14"/>
  <c r="G125" i="14"/>
  <c r="D125" i="14"/>
  <c r="E125" i="14" s="1"/>
  <c r="C125" i="14"/>
  <c r="G124" i="14"/>
  <c r="D124" i="14"/>
  <c r="E124" i="14" s="1"/>
  <c r="C124" i="14"/>
  <c r="G123" i="14"/>
  <c r="D123" i="14"/>
  <c r="E123" i="14" s="1"/>
  <c r="C123" i="14"/>
  <c r="E117" i="14"/>
  <c r="D117" i="14"/>
  <c r="F116" i="14"/>
  <c r="F117" i="14" s="1"/>
  <c r="F115" i="14"/>
  <c r="F114" i="14"/>
  <c r="F113" i="14"/>
  <c r="F112" i="14"/>
  <c r="F111" i="14"/>
  <c r="F110" i="14"/>
  <c r="F109" i="14"/>
  <c r="E87" i="14"/>
  <c r="D87" i="14"/>
  <c r="C87" i="14"/>
  <c r="B87" i="14"/>
  <c r="C79" i="14"/>
  <c r="I78" i="14"/>
  <c r="K78" i="14" s="1"/>
  <c r="H78" i="14"/>
  <c r="G78" i="14"/>
  <c r="J78" i="14" s="1"/>
  <c r="D78" i="14"/>
  <c r="I77" i="14"/>
  <c r="K77" i="14" s="1"/>
  <c r="H77" i="14"/>
  <c r="G77" i="14"/>
  <c r="J77" i="14" s="1"/>
  <c r="D77" i="14"/>
  <c r="I76" i="14"/>
  <c r="K76" i="14" s="1"/>
  <c r="H76" i="14"/>
  <c r="G76" i="14"/>
  <c r="J76" i="14" s="1"/>
  <c r="D76" i="14"/>
  <c r="I75" i="14"/>
  <c r="K75" i="14" s="1"/>
  <c r="H75" i="14"/>
  <c r="G75" i="14"/>
  <c r="J75" i="14" s="1"/>
  <c r="D75" i="14"/>
  <c r="I74" i="14"/>
  <c r="K74" i="14" s="1"/>
  <c r="H74" i="14"/>
  <c r="G74" i="14"/>
  <c r="J74" i="14" s="1"/>
  <c r="D74" i="14"/>
  <c r="I73" i="14"/>
  <c r="K73" i="14" s="1"/>
  <c r="H73" i="14"/>
  <c r="G73" i="14"/>
  <c r="J73" i="14" s="1"/>
  <c r="D73" i="14"/>
  <c r="I72" i="14"/>
  <c r="K72" i="14" s="1"/>
  <c r="H72" i="14"/>
  <c r="G72" i="14"/>
  <c r="J72" i="14" s="1"/>
  <c r="D72" i="14"/>
  <c r="I71" i="14"/>
  <c r="K71" i="14" s="1"/>
  <c r="H71" i="14"/>
  <c r="G71" i="14"/>
  <c r="J71" i="14" s="1"/>
  <c r="D71" i="14"/>
  <c r="I70" i="14"/>
  <c r="K70" i="14" s="1"/>
  <c r="H70" i="14"/>
  <c r="G70" i="14"/>
  <c r="J70" i="14" s="1"/>
  <c r="D70" i="14"/>
  <c r="I69" i="14"/>
  <c r="K69" i="14" s="1"/>
  <c r="H69" i="14"/>
  <c r="G69" i="14"/>
  <c r="J69" i="14" s="1"/>
  <c r="D69" i="14"/>
  <c r="I68" i="14"/>
  <c r="K68" i="14" s="1"/>
  <c r="H68" i="14"/>
  <c r="G68" i="14"/>
  <c r="J68" i="14" s="1"/>
  <c r="J79" i="14" s="1"/>
  <c r="D68" i="14"/>
  <c r="I64" i="14"/>
  <c r="C152" i="14" s="1"/>
  <c r="H64" i="14"/>
  <c r="C149" i="14" s="1"/>
  <c r="C156" i="14" s="1"/>
  <c r="E96" i="6" s="1"/>
  <c r="I63" i="14"/>
  <c r="C151" i="14" s="1"/>
  <c r="H63" i="14"/>
  <c r="C148" i="14" s="1"/>
  <c r="C157" i="14" s="1"/>
  <c r="J96" i="6" s="1"/>
  <c r="I62" i="14"/>
  <c r="C150" i="14" s="1"/>
  <c r="H62" i="14"/>
  <c r="C147" i="14" s="1"/>
  <c r="C158" i="14" s="1"/>
  <c r="J61" i="14"/>
  <c r="J60" i="14"/>
  <c r="J59" i="14"/>
  <c r="J58" i="14"/>
  <c r="J57" i="14"/>
  <c r="J56" i="14"/>
  <c r="J55" i="14"/>
  <c r="J54" i="14"/>
  <c r="J53" i="14"/>
  <c r="K52" i="14"/>
  <c r="L52" i="14" s="1"/>
  <c r="J52" i="14"/>
  <c r="K51" i="14"/>
  <c r="L51" i="14" s="1"/>
  <c r="J51" i="14"/>
  <c r="K50" i="14"/>
  <c r="L50" i="14" s="1"/>
  <c r="J50" i="14"/>
  <c r="K49" i="14"/>
  <c r="L49" i="14" s="1"/>
  <c r="J49" i="14"/>
  <c r="K48" i="14"/>
  <c r="L48" i="14" s="1"/>
  <c r="J48" i="14"/>
  <c r="K47" i="14"/>
  <c r="J47" i="14"/>
  <c r="D40" i="14"/>
  <c r="C40" i="14"/>
  <c r="I39" i="14"/>
  <c r="K39" i="14" s="1"/>
  <c r="H39" i="14"/>
  <c r="G39" i="14"/>
  <c r="J39" i="14" s="1"/>
  <c r="I38" i="14"/>
  <c r="K38" i="14" s="1"/>
  <c r="H38" i="14"/>
  <c r="G38" i="14"/>
  <c r="J38" i="14" s="1"/>
  <c r="I37" i="14"/>
  <c r="K37" i="14" s="1"/>
  <c r="H37" i="14"/>
  <c r="G37" i="14"/>
  <c r="J37" i="14" s="1"/>
  <c r="I36" i="14"/>
  <c r="K36" i="14" s="1"/>
  <c r="H36" i="14"/>
  <c r="G36" i="14"/>
  <c r="J36" i="14" s="1"/>
  <c r="I35" i="14"/>
  <c r="K35" i="14" s="1"/>
  <c r="H35" i="14"/>
  <c r="G35" i="14"/>
  <c r="J35" i="14" s="1"/>
  <c r="I34" i="14"/>
  <c r="K34" i="14" s="1"/>
  <c r="H34" i="14"/>
  <c r="G34" i="14"/>
  <c r="J34" i="14" s="1"/>
  <c r="I33" i="14"/>
  <c r="K33" i="14" s="1"/>
  <c r="H33" i="14"/>
  <c r="G33" i="14"/>
  <c r="J33" i="14" s="1"/>
  <c r="J40" i="14" s="1"/>
  <c r="I29" i="14"/>
  <c r="D152" i="14" s="1"/>
  <c r="E152" i="14" s="1"/>
  <c r="F152" i="14" s="1"/>
  <c r="H29" i="14"/>
  <c r="D149" i="14" s="1"/>
  <c r="I28" i="14"/>
  <c r="D151" i="14" s="1"/>
  <c r="E151" i="14" s="1"/>
  <c r="F151" i="14" s="1"/>
  <c r="H28" i="14"/>
  <c r="D148" i="14" s="1"/>
  <c r="I27" i="14"/>
  <c r="D150" i="14" s="1"/>
  <c r="E150" i="14" s="1"/>
  <c r="F150" i="14" s="1"/>
  <c r="H27" i="14"/>
  <c r="D147" i="14" s="1"/>
  <c r="J26" i="14"/>
  <c r="J25" i="14"/>
  <c r="J24" i="14"/>
  <c r="J23" i="14"/>
  <c r="J22" i="14"/>
  <c r="J21" i="14"/>
  <c r="J20" i="14"/>
  <c r="J19" i="14"/>
  <c r="J18" i="14"/>
  <c r="J17" i="14"/>
  <c r="J16" i="14"/>
  <c r="K15" i="14"/>
  <c r="L15" i="14" s="1"/>
  <c r="J15" i="14"/>
  <c r="K14" i="14"/>
  <c r="L14" i="14" s="1"/>
  <c r="J14" i="14"/>
  <c r="K13" i="14"/>
  <c r="L13" i="14" s="1"/>
  <c r="J13" i="14"/>
  <c r="K12" i="14"/>
  <c r="L12" i="14" s="1"/>
  <c r="J12" i="14"/>
  <c r="K11" i="14"/>
  <c r="L11" i="14" s="1"/>
  <c r="J11" i="14"/>
  <c r="K10" i="14"/>
  <c r="J10" i="14"/>
  <c r="L241" i="13"/>
  <c r="K241" i="13"/>
  <c r="L240" i="13"/>
  <c r="K240" i="13"/>
  <c r="L239" i="13"/>
  <c r="K239" i="13"/>
  <c r="L238" i="13"/>
  <c r="K238" i="13"/>
  <c r="L237" i="13"/>
  <c r="K237" i="13"/>
  <c r="L236" i="13"/>
  <c r="K236" i="13"/>
  <c r="L235" i="13"/>
  <c r="K235" i="13"/>
  <c r="L234" i="13"/>
  <c r="K234" i="13"/>
  <c r="L233" i="13"/>
  <c r="K233" i="13"/>
  <c r="L232" i="13"/>
  <c r="K232" i="13"/>
  <c r="L231" i="13"/>
  <c r="K231" i="13"/>
  <c r="L230" i="13"/>
  <c r="K230" i="13"/>
  <c r="L229" i="13"/>
  <c r="K229" i="13"/>
  <c r="L228" i="13"/>
  <c r="K228" i="13"/>
  <c r="L227" i="13"/>
  <c r="K227" i="13"/>
  <c r="L226" i="13"/>
  <c r="K226" i="13"/>
  <c r="L225" i="13"/>
  <c r="K225" i="13"/>
  <c r="L224" i="13"/>
  <c r="K224" i="13"/>
  <c r="L223" i="13"/>
  <c r="K223" i="13"/>
  <c r="L222" i="13"/>
  <c r="K222" i="13"/>
  <c r="L221" i="13"/>
  <c r="K221" i="13"/>
  <c r="L220" i="13"/>
  <c r="K220" i="13"/>
  <c r="L219" i="13"/>
  <c r="K219" i="13"/>
  <c r="L218" i="13"/>
  <c r="K218" i="13"/>
  <c r="L217" i="13"/>
  <c r="K217" i="13"/>
  <c r="L216" i="13"/>
  <c r="K216" i="13"/>
  <c r="L215" i="13"/>
  <c r="K215" i="13"/>
  <c r="L214" i="13"/>
  <c r="K214" i="13"/>
  <c r="L213" i="13"/>
  <c r="K213" i="13"/>
  <c r="L212" i="13"/>
  <c r="K212" i="13"/>
  <c r="L211" i="13"/>
  <c r="K211" i="13"/>
  <c r="L210" i="13"/>
  <c r="K210" i="13"/>
  <c r="L209" i="13"/>
  <c r="K209" i="13"/>
  <c r="L208" i="13"/>
  <c r="K208" i="13"/>
  <c r="L207" i="13"/>
  <c r="K207" i="13"/>
  <c r="L206" i="13"/>
  <c r="K206" i="13"/>
  <c r="L205" i="13"/>
  <c r="K205" i="13"/>
  <c r="L204" i="13"/>
  <c r="K204" i="13"/>
  <c r="L203" i="13"/>
  <c r="K203" i="13"/>
  <c r="L202" i="13"/>
  <c r="K202" i="13"/>
  <c r="L201" i="13"/>
  <c r="K201" i="13"/>
  <c r="L200" i="13"/>
  <c r="K200" i="13"/>
  <c r="L199" i="13"/>
  <c r="K199" i="13"/>
  <c r="L198" i="13"/>
  <c r="K198" i="13"/>
  <c r="L197" i="13"/>
  <c r="K197" i="13"/>
  <c r="L196" i="13"/>
  <c r="K196" i="13"/>
  <c r="L195" i="13"/>
  <c r="K195" i="13"/>
  <c r="L194" i="13"/>
  <c r="K194" i="13"/>
  <c r="L193" i="13"/>
  <c r="K193" i="13"/>
  <c r="L192" i="13"/>
  <c r="K192" i="13"/>
  <c r="L191" i="13"/>
  <c r="K191" i="13"/>
  <c r="L190" i="13"/>
  <c r="K190" i="13"/>
  <c r="L189" i="13"/>
  <c r="K189" i="13"/>
  <c r="L188" i="13"/>
  <c r="K188" i="13"/>
  <c r="L187" i="13"/>
  <c r="K187" i="13"/>
  <c r="L186" i="13"/>
  <c r="K186" i="13"/>
  <c r="L185" i="13"/>
  <c r="K185" i="13"/>
  <c r="L184" i="13"/>
  <c r="K184" i="13"/>
  <c r="L183" i="13"/>
  <c r="K183" i="13"/>
  <c r="L182" i="13"/>
  <c r="K182" i="13"/>
  <c r="L181" i="13"/>
  <c r="K181" i="13"/>
  <c r="L180" i="13"/>
  <c r="K180" i="13"/>
  <c r="L179" i="13"/>
  <c r="K179" i="13"/>
  <c r="L178" i="13"/>
  <c r="K178" i="13"/>
  <c r="L177" i="13"/>
  <c r="K177" i="13"/>
  <c r="L176" i="13"/>
  <c r="K176" i="13"/>
  <c r="L175" i="13"/>
  <c r="K175" i="13"/>
  <c r="L174" i="13"/>
  <c r="K174" i="13"/>
  <c r="L173" i="13"/>
  <c r="K173" i="13"/>
  <c r="L172" i="13"/>
  <c r="K172" i="13"/>
  <c r="L171" i="13"/>
  <c r="K171" i="13"/>
  <c r="L170" i="13"/>
  <c r="K170" i="13"/>
  <c r="L169" i="13"/>
  <c r="K169" i="13"/>
  <c r="L168" i="13"/>
  <c r="K168" i="13"/>
  <c r="L167" i="13"/>
  <c r="K167" i="13"/>
  <c r="L166" i="13"/>
  <c r="K166" i="13"/>
  <c r="L165" i="13"/>
  <c r="K165" i="13"/>
  <c r="L164" i="13"/>
  <c r="K164" i="13"/>
  <c r="L163" i="13"/>
  <c r="K163" i="13"/>
  <c r="L162" i="13"/>
  <c r="K162" i="13"/>
  <c r="L161" i="13"/>
  <c r="K161" i="13"/>
  <c r="L160" i="13"/>
  <c r="K160" i="13"/>
  <c r="L159" i="13"/>
  <c r="K159" i="13"/>
  <c r="L158" i="13"/>
  <c r="K158" i="13"/>
  <c r="L157" i="13"/>
  <c r="K157" i="13"/>
  <c r="L156" i="13"/>
  <c r="K156" i="13"/>
  <c r="L155" i="13"/>
  <c r="K155" i="13"/>
  <c r="L154" i="13"/>
  <c r="K154" i="13"/>
  <c r="L153" i="13"/>
  <c r="K153" i="13"/>
  <c r="L152" i="13"/>
  <c r="K152" i="13"/>
  <c r="L151" i="13"/>
  <c r="K151" i="13"/>
  <c r="L150" i="13"/>
  <c r="K150" i="13"/>
  <c r="L149" i="13"/>
  <c r="K149" i="13"/>
  <c r="L148" i="13"/>
  <c r="K148" i="13"/>
  <c r="L147" i="13"/>
  <c r="K147" i="13"/>
  <c r="L146" i="13"/>
  <c r="K146" i="13"/>
  <c r="L145" i="13"/>
  <c r="K145" i="13"/>
  <c r="L144" i="13"/>
  <c r="K144" i="13"/>
  <c r="L143" i="13"/>
  <c r="K143" i="13"/>
  <c r="L142" i="13"/>
  <c r="K142" i="13"/>
  <c r="L141" i="13"/>
  <c r="K141" i="13"/>
  <c r="L140" i="13"/>
  <c r="K140" i="13"/>
  <c r="L139" i="13"/>
  <c r="K139" i="13"/>
  <c r="L138" i="13"/>
  <c r="K138" i="13"/>
  <c r="L137" i="13"/>
  <c r="K137" i="13"/>
  <c r="L136" i="13"/>
  <c r="K136" i="13"/>
  <c r="L135" i="13"/>
  <c r="K135" i="13"/>
  <c r="L134" i="13"/>
  <c r="K134" i="13"/>
  <c r="L133" i="13"/>
  <c r="K133" i="13"/>
  <c r="L132" i="13"/>
  <c r="K132" i="13"/>
  <c r="L131" i="13"/>
  <c r="K131" i="13"/>
  <c r="L130" i="13"/>
  <c r="K130" i="13"/>
  <c r="L129" i="13"/>
  <c r="K129" i="13"/>
  <c r="L128" i="13"/>
  <c r="K128" i="13"/>
  <c r="L127" i="13"/>
  <c r="K127" i="13"/>
  <c r="L126" i="13"/>
  <c r="K126" i="13"/>
  <c r="L125" i="13"/>
  <c r="K125" i="13"/>
  <c r="L124" i="13"/>
  <c r="K124" i="13"/>
  <c r="L123" i="13"/>
  <c r="K123" i="13"/>
  <c r="L122" i="13"/>
  <c r="K122" i="13"/>
  <c r="L121" i="13"/>
  <c r="K121" i="13"/>
  <c r="L120" i="13"/>
  <c r="K120" i="13"/>
  <c r="L119" i="13"/>
  <c r="K119" i="13"/>
  <c r="L118" i="13"/>
  <c r="K118" i="13"/>
  <c r="L117" i="13"/>
  <c r="K117" i="13"/>
  <c r="L116" i="13"/>
  <c r="K116" i="13"/>
  <c r="L115" i="13"/>
  <c r="K115" i="13"/>
  <c r="L114" i="13"/>
  <c r="K114" i="13"/>
  <c r="L113" i="13"/>
  <c r="K113" i="13"/>
  <c r="L112" i="13"/>
  <c r="K112" i="13"/>
  <c r="L111" i="13"/>
  <c r="K111" i="13"/>
  <c r="L110" i="13"/>
  <c r="K110" i="13"/>
  <c r="L109" i="13"/>
  <c r="K109" i="13"/>
  <c r="L108" i="13"/>
  <c r="K108" i="13"/>
  <c r="L107" i="13"/>
  <c r="K107" i="13"/>
  <c r="L106" i="13"/>
  <c r="K106" i="13"/>
  <c r="L105" i="13"/>
  <c r="K105" i="13"/>
  <c r="L104" i="13"/>
  <c r="K104" i="13"/>
  <c r="L103" i="13"/>
  <c r="K103" i="13"/>
  <c r="L102" i="13"/>
  <c r="K102" i="13"/>
  <c r="L101" i="13"/>
  <c r="K101" i="13"/>
  <c r="L100" i="13"/>
  <c r="K100" i="13"/>
  <c r="L99" i="13"/>
  <c r="K99" i="13"/>
  <c r="L98" i="13"/>
  <c r="K98" i="13"/>
  <c r="L97" i="13"/>
  <c r="K97" i="13"/>
  <c r="L96" i="13"/>
  <c r="K96" i="13"/>
  <c r="L95" i="13"/>
  <c r="K95" i="13"/>
  <c r="L94" i="13"/>
  <c r="K94" i="13"/>
  <c r="L93" i="13"/>
  <c r="K93" i="13"/>
  <c r="L92" i="13"/>
  <c r="K92" i="13"/>
  <c r="L91" i="13"/>
  <c r="K91" i="13"/>
  <c r="L90" i="13"/>
  <c r="K90" i="13"/>
  <c r="L89" i="13"/>
  <c r="K89" i="13"/>
  <c r="L88" i="13"/>
  <c r="K88" i="13"/>
  <c r="L87" i="13"/>
  <c r="K87" i="13"/>
  <c r="L86" i="13"/>
  <c r="K86" i="13"/>
  <c r="L85" i="13"/>
  <c r="K85" i="13"/>
  <c r="L84" i="13"/>
  <c r="K84" i="13"/>
  <c r="L83" i="13"/>
  <c r="K83" i="13"/>
  <c r="L82" i="13"/>
  <c r="K82" i="13"/>
  <c r="L81" i="13"/>
  <c r="K81" i="13"/>
  <c r="L80" i="13"/>
  <c r="K80" i="13"/>
  <c r="L79" i="13"/>
  <c r="K79" i="13"/>
  <c r="L78" i="13"/>
  <c r="K78" i="13"/>
  <c r="L77" i="13"/>
  <c r="K77" i="13"/>
  <c r="L76" i="13"/>
  <c r="K76" i="13"/>
  <c r="L75" i="13"/>
  <c r="K75" i="13"/>
  <c r="L74" i="13"/>
  <c r="K74" i="13"/>
  <c r="L73" i="13"/>
  <c r="K73" i="13"/>
  <c r="L72" i="13"/>
  <c r="K72" i="13"/>
  <c r="L71" i="13"/>
  <c r="K71" i="13"/>
  <c r="L70" i="13"/>
  <c r="K70" i="13"/>
  <c r="L69" i="13"/>
  <c r="K69" i="13"/>
  <c r="L68" i="13"/>
  <c r="K68" i="13"/>
  <c r="L67" i="13"/>
  <c r="K67" i="13"/>
  <c r="L66" i="13"/>
  <c r="K66" i="13"/>
  <c r="L65" i="13"/>
  <c r="K65" i="13"/>
  <c r="L64" i="13"/>
  <c r="K64" i="13"/>
  <c r="L63" i="13"/>
  <c r="K63" i="13"/>
  <c r="L62" i="13"/>
  <c r="K62" i="13"/>
  <c r="L61" i="13"/>
  <c r="K61" i="13"/>
  <c r="L60" i="13"/>
  <c r="K60" i="13"/>
  <c r="L59" i="13"/>
  <c r="K59" i="13"/>
  <c r="L58" i="13"/>
  <c r="K58" i="13"/>
  <c r="L57" i="13"/>
  <c r="K57" i="13"/>
  <c r="L56" i="13"/>
  <c r="K56" i="13"/>
  <c r="L55" i="13"/>
  <c r="K55" i="13"/>
  <c r="L54" i="13"/>
  <c r="K54" i="13"/>
  <c r="L53" i="13"/>
  <c r="K53" i="13"/>
  <c r="L52" i="13"/>
  <c r="K52" i="13"/>
  <c r="X11" i="13" s="1"/>
  <c r="L51" i="13"/>
  <c r="Y12" i="13" s="1"/>
  <c r="K51" i="13"/>
  <c r="X12" i="13" s="1"/>
  <c r="L50" i="13"/>
  <c r="Y13" i="13" s="1"/>
  <c r="K50" i="13"/>
  <c r="X13" i="13" s="1"/>
  <c r="L49" i="13"/>
  <c r="Y15" i="13" s="1"/>
  <c r="Z15" i="13" s="1"/>
  <c r="K49" i="13"/>
  <c r="X15" i="13" s="1"/>
  <c r="O48" i="13"/>
  <c r="L48" i="13"/>
  <c r="K48" i="13"/>
  <c r="L47" i="13"/>
  <c r="K47" i="13"/>
  <c r="L46" i="13"/>
  <c r="K46" i="13"/>
  <c r="L45" i="13"/>
  <c r="K45" i="13"/>
  <c r="L44" i="13"/>
  <c r="K44" i="13"/>
  <c r="L43" i="13"/>
  <c r="K43" i="13"/>
  <c r="L42" i="13"/>
  <c r="K42" i="13"/>
  <c r="L41" i="13"/>
  <c r="K41" i="13"/>
  <c r="L40" i="13"/>
  <c r="K40" i="13"/>
  <c r="O39" i="13"/>
  <c r="L39" i="13"/>
  <c r="K39" i="13"/>
  <c r="L38" i="13"/>
  <c r="K38" i="13"/>
  <c r="L37" i="13"/>
  <c r="K37" i="13"/>
  <c r="L36" i="13"/>
  <c r="K36" i="13"/>
  <c r="L35" i="13"/>
  <c r="K35" i="13"/>
  <c r="L34" i="13"/>
  <c r="K34" i="13"/>
  <c r="L33" i="13"/>
  <c r="K33" i="13"/>
  <c r="L32" i="13"/>
  <c r="K32" i="13"/>
  <c r="L31" i="13"/>
  <c r="K31" i="13"/>
  <c r="L30" i="13"/>
  <c r="K30" i="13"/>
  <c r="L29" i="13"/>
  <c r="K29" i="13"/>
  <c r="L28" i="13"/>
  <c r="K28" i="13"/>
  <c r="L27" i="13"/>
  <c r="K27" i="13"/>
  <c r="W26" i="13"/>
  <c r="X26" i="13" s="1"/>
  <c r="L26" i="13"/>
  <c r="K26" i="13"/>
  <c r="L25" i="13"/>
  <c r="K25" i="13"/>
  <c r="P24" i="13"/>
  <c r="W25" i="13" s="1"/>
  <c r="X25" i="13" s="1"/>
  <c r="L24" i="13"/>
  <c r="K24" i="13"/>
  <c r="W23" i="13"/>
  <c r="X23" i="13" s="1"/>
  <c r="L23" i="13"/>
  <c r="K23" i="13"/>
  <c r="W22" i="13"/>
  <c r="X22" i="13" s="1"/>
  <c r="L22" i="13"/>
  <c r="K22" i="13"/>
  <c r="W21" i="13"/>
  <c r="X21" i="13" s="1"/>
  <c r="L21" i="13"/>
  <c r="K21" i="13"/>
  <c r="L20" i="13"/>
  <c r="K20" i="13"/>
  <c r="L19" i="13"/>
  <c r="K19" i="13"/>
  <c r="L18" i="13"/>
  <c r="K18" i="13"/>
  <c r="Z17" i="13"/>
  <c r="W17" i="13"/>
  <c r="S17" i="13"/>
  <c r="L17" i="13"/>
  <c r="K17" i="13"/>
  <c r="V16" i="13"/>
  <c r="P43" i="13" s="1"/>
  <c r="R16" i="13"/>
  <c r="S16" i="13" s="1"/>
  <c r="Q16" i="13"/>
  <c r="O47" i="13" s="1"/>
  <c r="P16" i="13"/>
  <c r="O16" i="13"/>
  <c r="O43" i="13" s="1"/>
  <c r="L16" i="13"/>
  <c r="K16" i="13"/>
  <c r="W15" i="13"/>
  <c r="AB15" i="13" s="1"/>
  <c r="S15" i="13"/>
  <c r="L15" i="13"/>
  <c r="K15" i="13"/>
  <c r="W14" i="13"/>
  <c r="AB14" i="13" s="1"/>
  <c r="S14" i="13"/>
  <c r="L14" i="13"/>
  <c r="K14" i="13"/>
  <c r="W13" i="13"/>
  <c r="AB13" i="13" s="1"/>
  <c r="S13" i="13"/>
  <c r="L13" i="13"/>
  <c r="K13" i="13"/>
  <c r="W12" i="13"/>
  <c r="AB12" i="13" s="1"/>
  <c r="S12" i="13"/>
  <c r="L12" i="13"/>
  <c r="W11" i="13"/>
  <c r="S11" i="13"/>
  <c r="L11" i="13"/>
  <c r="Y11" i="13" s="1"/>
  <c r="I8" i="13"/>
  <c r="C60" i="12"/>
  <c r="B60" i="12"/>
  <c r="B61" i="12" s="1"/>
  <c r="C59" i="12"/>
  <c r="D59" i="12" s="1"/>
  <c r="E59" i="12" s="1"/>
  <c r="B59" i="12"/>
  <c r="C58" i="12"/>
  <c r="D58" i="12" s="1"/>
  <c r="E58" i="12" s="1"/>
  <c r="B58" i="12"/>
  <c r="C55" i="12"/>
  <c r="D55" i="12" s="1"/>
  <c r="E55" i="12" s="1"/>
  <c r="B55" i="12"/>
  <c r="E49" i="12"/>
  <c r="F49" i="12" s="1"/>
  <c r="D49" i="12"/>
  <c r="E48" i="12"/>
  <c r="F48" i="12" s="1"/>
  <c r="D48" i="12"/>
  <c r="E47" i="12"/>
  <c r="D47" i="12"/>
  <c r="E46" i="12"/>
  <c r="E45" i="12"/>
  <c r="F45" i="12" s="1"/>
  <c r="D45" i="12"/>
  <c r="E44" i="12"/>
  <c r="F44" i="12" s="1"/>
  <c r="D44" i="12"/>
  <c r="E43" i="12"/>
  <c r="F43" i="12" s="1"/>
  <c r="D43" i="12"/>
  <c r="E42" i="12"/>
  <c r="F42" i="12" s="1"/>
  <c r="D42" i="12"/>
  <c r="E41" i="12"/>
  <c r="D41" i="12"/>
  <c r="B57" i="12" s="1"/>
  <c r="R94" i="6" s="1"/>
  <c r="E40" i="12"/>
  <c r="F40" i="12" s="1"/>
  <c r="D40" i="12"/>
  <c r="E39" i="12"/>
  <c r="F39" i="12" s="1"/>
  <c r="D39" i="12"/>
  <c r="E38" i="12"/>
  <c r="F38" i="12" s="1"/>
  <c r="D38" i="12"/>
  <c r="E37" i="12"/>
  <c r="F37" i="12" s="1"/>
  <c r="D37" i="12"/>
  <c r="E36" i="12"/>
  <c r="F36" i="12" s="1"/>
  <c r="D36" i="12"/>
  <c r="E29" i="12"/>
  <c r="C29" i="12"/>
  <c r="K24" i="12"/>
  <c r="B56" i="12" s="1"/>
  <c r="J94" i="6" s="1"/>
  <c r="E19" i="12"/>
  <c r="C19" i="12"/>
  <c r="K12" i="12"/>
  <c r="C56" i="12" s="1"/>
  <c r="W221" i="11"/>
  <c r="W220" i="11"/>
  <c r="P215" i="11"/>
  <c r="P214" i="11"/>
  <c r="P213" i="11"/>
  <c r="P212" i="11"/>
  <c r="P211" i="11"/>
  <c r="P210" i="11"/>
  <c r="P209" i="11"/>
  <c r="P208" i="11"/>
  <c r="P207" i="11"/>
  <c r="P206" i="11"/>
  <c r="P205" i="11"/>
  <c r="P204" i="11"/>
  <c r="P203" i="11"/>
  <c r="P202" i="11"/>
  <c r="P201" i="11"/>
  <c r="P200" i="11"/>
  <c r="P199" i="11"/>
  <c r="P198" i="11"/>
  <c r="P197" i="11"/>
  <c r="P196" i="11"/>
  <c r="P195" i="11"/>
  <c r="P194" i="11"/>
  <c r="P193" i="11"/>
  <c r="P192" i="11"/>
  <c r="P191" i="11"/>
  <c r="P190" i="11"/>
  <c r="P189" i="11"/>
  <c r="P188" i="11"/>
  <c r="P187" i="11"/>
  <c r="P186" i="11"/>
  <c r="P185" i="11"/>
  <c r="P184" i="11"/>
  <c r="P183" i="11"/>
  <c r="P182" i="11"/>
  <c r="P181" i="11"/>
  <c r="P180" i="11"/>
  <c r="P179" i="11"/>
  <c r="P178" i="11"/>
  <c r="P177" i="11"/>
  <c r="P176" i="11"/>
  <c r="P175" i="11"/>
  <c r="P174" i="11"/>
  <c r="P173" i="11"/>
  <c r="P172" i="11"/>
  <c r="P171" i="11"/>
  <c r="P170" i="11"/>
  <c r="P169" i="11"/>
  <c r="P168" i="11"/>
  <c r="O168" i="11"/>
  <c r="N168" i="11"/>
  <c r="M168" i="11"/>
  <c r="F168" i="11"/>
  <c r="E168" i="11"/>
  <c r="P167" i="11"/>
  <c r="G167" i="11"/>
  <c r="P166" i="11"/>
  <c r="G166" i="11"/>
  <c r="P165" i="11"/>
  <c r="G165" i="11"/>
  <c r="P164" i="11"/>
  <c r="G164" i="11"/>
  <c r="P163" i="11"/>
  <c r="G163" i="11"/>
  <c r="P162" i="11"/>
  <c r="G162" i="11"/>
  <c r="P161" i="11"/>
  <c r="G161" i="11"/>
  <c r="P160" i="11"/>
  <c r="G160" i="11"/>
  <c r="P159" i="11"/>
  <c r="G159" i="11"/>
  <c r="P158" i="11"/>
  <c r="G158" i="11"/>
  <c r="P157" i="11"/>
  <c r="G157" i="11"/>
  <c r="P156" i="11"/>
  <c r="G156" i="11"/>
  <c r="P155" i="11"/>
  <c r="G155" i="11"/>
  <c r="P154" i="11"/>
  <c r="G154" i="11"/>
  <c r="P153" i="11"/>
  <c r="G153" i="11"/>
  <c r="P152" i="11"/>
  <c r="G152" i="11"/>
  <c r="P151" i="11"/>
  <c r="G151" i="11"/>
  <c r="P150" i="11"/>
  <c r="G150" i="11"/>
  <c r="P149" i="11"/>
  <c r="G149" i="11"/>
  <c r="P148" i="11"/>
  <c r="G148" i="11"/>
  <c r="P147" i="11"/>
  <c r="G147" i="11"/>
  <c r="P146" i="11"/>
  <c r="G146" i="11"/>
  <c r="P145" i="11"/>
  <c r="G145" i="11"/>
  <c r="P144" i="11"/>
  <c r="G144" i="11"/>
  <c r="P143" i="11"/>
  <c r="G143" i="11"/>
  <c r="P142" i="11"/>
  <c r="G142" i="11"/>
  <c r="P141" i="11"/>
  <c r="G141" i="11"/>
  <c r="P140" i="11"/>
  <c r="G140" i="11"/>
  <c r="P139" i="11"/>
  <c r="G139" i="11"/>
  <c r="P138" i="11"/>
  <c r="G138" i="11"/>
  <c r="P137" i="11"/>
  <c r="G137" i="11"/>
  <c r="P136" i="11"/>
  <c r="G136" i="11"/>
  <c r="P135" i="11"/>
  <c r="G135" i="11"/>
  <c r="P134" i="11"/>
  <c r="G134" i="11"/>
  <c r="P133" i="11"/>
  <c r="G133" i="11"/>
  <c r="P132" i="11"/>
  <c r="G132" i="11"/>
  <c r="P131" i="11"/>
  <c r="G131" i="11"/>
  <c r="P130" i="11"/>
  <c r="G130" i="11"/>
  <c r="P129" i="11"/>
  <c r="G129" i="11"/>
  <c r="P128" i="11"/>
  <c r="G128" i="11"/>
  <c r="P127" i="11"/>
  <c r="G127" i="11"/>
  <c r="P126" i="11"/>
  <c r="G126" i="11"/>
  <c r="P125" i="11"/>
  <c r="G125" i="11"/>
  <c r="P124" i="11"/>
  <c r="G124" i="11"/>
  <c r="P123" i="11"/>
  <c r="G123" i="11"/>
  <c r="P122" i="11"/>
  <c r="G122" i="11"/>
  <c r="P121" i="11"/>
  <c r="G121" i="11"/>
  <c r="P120" i="11"/>
  <c r="G120" i="11"/>
  <c r="P119" i="11"/>
  <c r="G119" i="11"/>
  <c r="P118" i="11"/>
  <c r="G118" i="11"/>
  <c r="P117" i="11"/>
  <c r="G117" i="11"/>
  <c r="P116" i="11"/>
  <c r="G116" i="11"/>
  <c r="P115" i="11"/>
  <c r="G115" i="11"/>
  <c r="P114" i="11"/>
  <c r="G114" i="11"/>
  <c r="P113" i="11"/>
  <c r="G113" i="11"/>
  <c r="P112" i="11"/>
  <c r="G112" i="11"/>
  <c r="P111" i="11"/>
  <c r="G111" i="11"/>
  <c r="P110" i="11"/>
  <c r="G110" i="11"/>
  <c r="P109" i="11"/>
  <c r="G109" i="11"/>
  <c r="P108" i="11"/>
  <c r="G108" i="11"/>
  <c r="P107" i="11"/>
  <c r="G107" i="11"/>
  <c r="P106" i="11"/>
  <c r="G106" i="11"/>
  <c r="P105" i="11"/>
  <c r="G105" i="11"/>
  <c r="P104" i="11"/>
  <c r="G104" i="11"/>
  <c r="P103" i="11"/>
  <c r="G103" i="11"/>
  <c r="P102" i="11"/>
  <c r="G102" i="11"/>
  <c r="P101" i="11"/>
  <c r="G101" i="11"/>
  <c r="P100" i="11"/>
  <c r="G100" i="11"/>
  <c r="P99" i="11"/>
  <c r="G99" i="11"/>
  <c r="P98" i="11"/>
  <c r="G98" i="11"/>
  <c r="P97" i="11"/>
  <c r="G97" i="11"/>
  <c r="P96" i="11"/>
  <c r="G96" i="11"/>
  <c r="P95" i="11"/>
  <c r="G95" i="11"/>
  <c r="P94" i="11"/>
  <c r="G94" i="11"/>
  <c r="P93" i="11"/>
  <c r="G93" i="11"/>
  <c r="G168" i="11" s="1"/>
  <c r="W91" i="11"/>
  <c r="V91" i="11"/>
  <c r="U91" i="11"/>
  <c r="O91" i="11"/>
  <c r="N91" i="11"/>
  <c r="M91" i="11"/>
  <c r="G91" i="11"/>
  <c r="F91" i="11"/>
  <c r="E91" i="11"/>
  <c r="W90" i="11"/>
  <c r="K86" i="11"/>
  <c r="J86" i="11"/>
  <c r="I86" i="11"/>
  <c r="D86" i="11"/>
  <c r="C86" i="11"/>
  <c r="B86" i="11"/>
  <c r="Q81" i="11"/>
  <c r="R80" i="11"/>
  <c r="R79" i="11"/>
  <c r="R78" i="11"/>
  <c r="R77" i="11"/>
  <c r="R76" i="11"/>
  <c r="R75" i="11"/>
  <c r="R74" i="11"/>
  <c r="R73" i="11"/>
  <c r="R72" i="11"/>
  <c r="R71" i="11"/>
  <c r="R70" i="11"/>
  <c r="R69" i="11"/>
  <c r="R68" i="11"/>
  <c r="R67" i="11"/>
  <c r="R66" i="11"/>
  <c r="R81" i="11" s="1"/>
  <c r="P66" i="11"/>
  <c r="O57" i="11"/>
  <c r="P57" i="11" s="1"/>
  <c r="O56" i="11"/>
  <c r="O55" i="11"/>
  <c r="O54" i="11"/>
  <c r="O53" i="11"/>
  <c r="O52" i="11"/>
  <c r="O51" i="11"/>
  <c r="O50" i="11"/>
  <c r="B50" i="11"/>
  <c r="O49" i="11"/>
  <c r="B49" i="11"/>
  <c r="O48" i="11"/>
  <c r="B48" i="11"/>
  <c r="O47" i="11"/>
  <c r="B47" i="11"/>
  <c r="O46" i="11"/>
  <c r="P46" i="11" s="1"/>
  <c r="B46" i="11"/>
  <c r="O45" i="11"/>
  <c r="O44" i="11"/>
  <c r="O43" i="11"/>
  <c r="O42" i="11"/>
  <c r="O41" i="11"/>
  <c r="D41" i="11"/>
  <c r="E41" i="11" s="1"/>
  <c r="O40" i="11"/>
  <c r="O39" i="11"/>
  <c r="P39" i="11" s="1"/>
  <c r="I35" i="11"/>
  <c r="B44" i="11" s="1"/>
  <c r="H35" i="11"/>
  <c r="B40" i="11" s="1"/>
  <c r="K34" i="11"/>
  <c r="O33" i="11"/>
  <c r="R33" i="11" s="1"/>
  <c r="S33" i="11" s="1"/>
  <c r="N33" i="11"/>
  <c r="K33" i="11"/>
  <c r="C33" i="11"/>
  <c r="B33" i="11"/>
  <c r="O32" i="11"/>
  <c r="R32" i="11" s="1"/>
  <c r="S32" i="11" s="1"/>
  <c r="N32" i="11"/>
  <c r="K32" i="11"/>
  <c r="C32" i="11"/>
  <c r="B32" i="11"/>
  <c r="O31" i="11"/>
  <c r="R31" i="11" s="1"/>
  <c r="S31" i="11" s="1"/>
  <c r="N31" i="11"/>
  <c r="K31" i="11"/>
  <c r="C53" i="11" s="1"/>
  <c r="C31" i="11"/>
  <c r="B31" i="11"/>
  <c r="O30" i="11"/>
  <c r="R30" i="11" s="1"/>
  <c r="S30" i="11" s="1"/>
  <c r="N30" i="11"/>
  <c r="K30" i="11"/>
  <c r="C56" i="11" s="1"/>
  <c r="C30" i="11"/>
  <c r="B30" i="11"/>
  <c r="O29" i="11"/>
  <c r="N29" i="11"/>
  <c r="K29" i="11"/>
  <c r="C29" i="11"/>
  <c r="B29" i="11"/>
  <c r="O28" i="11"/>
  <c r="N28" i="11"/>
  <c r="K28" i="11"/>
  <c r="C28" i="11"/>
  <c r="B28" i="11"/>
  <c r="O27" i="11"/>
  <c r="R27" i="11" s="1"/>
  <c r="S27" i="11" s="1"/>
  <c r="N27" i="11"/>
  <c r="K27" i="11"/>
  <c r="C27" i="11"/>
  <c r="B27" i="11"/>
  <c r="O26" i="11"/>
  <c r="R26" i="11" s="1"/>
  <c r="S26" i="11" s="1"/>
  <c r="N26" i="11"/>
  <c r="K26" i="11"/>
  <c r="C26" i="11"/>
  <c r="B26" i="11"/>
  <c r="O25" i="11"/>
  <c r="R25" i="11" s="1"/>
  <c r="S25" i="11" s="1"/>
  <c r="N25" i="11"/>
  <c r="K25" i="11"/>
  <c r="C57" i="11" s="1"/>
  <c r="C25" i="11"/>
  <c r="B25" i="11"/>
  <c r="O24" i="11"/>
  <c r="N24" i="11"/>
  <c r="K24" i="11"/>
  <c r="C24" i="11"/>
  <c r="B24" i="11"/>
  <c r="O23" i="11"/>
  <c r="R23" i="11" s="1"/>
  <c r="S23" i="11" s="1"/>
  <c r="N23" i="11"/>
  <c r="K23" i="11"/>
  <c r="C23" i="11"/>
  <c r="B23" i="11"/>
  <c r="S22" i="11"/>
  <c r="O22" i="11"/>
  <c r="N22" i="11"/>
  <c r="K22" i="11"/>
  <c r="C54" i="11" s="1"/>
  <c r="C22" i="11"/>
  <c r="B22" i="11"/>
  <c r="O21" i="11"/>
  <c r="R21" i="11" s="1"/>
  <c r="S21" i="11" s="1"/>
  <c r="N21" i="11"/>
  <c r="K21" i="11"/>
  <c r="C55" i="11" s="1"/>
  <c r="C21" i="11"/>
  <c r="B21" i="11"/>
  <c r="O20" i="11"/>
  <c r="N20" i="11"/>
  <c r="K20" i="11"/>
  <c r="C20" i="11"/>
  <c r="B20" i="11"/>
  <c r="O19" i="11"/>
  <c r="N19" i="11"/>
  <c r="K19" i="11"/>
  <c r="C19" i="11"/>
  <c r="B19" i="11"/>
  <c r="O18" i="11"/>
  <c r="R18" i="11" s="1"/>
  <c r="S18" i="11" s="1"/>
  <c r="N18" i="11"/>
  <c r="K18" i="11"/>
  <c r="C18" i="11"/>
  <c r="B18" i="11"/>
  <c r="S17" i="11"/>
  <c r="O17" i="11"/>
  <c r="N17" i="11"/>
  <c r="K17" i="11"/>
  <c r="C17" i="11"/>
  <c r="B17" i="11"/>
  <c r="O16" i="11"/>
  <c r="N16" i="11"/>
  <c r="K16" i="11"/>
  <c r="K35" i="11" s="1"/>
  <c r="C16" i="11"/>
  <c r="C34" i="11" s="1"/>
  <c r="B16" i="11"/>
  <c r="F43" i="10"/>
  <c r="E25" i="10"/>
  <c r="H23" i="10"/>
  <c r="Q22" i="10"/>
  <c r="H22" i="10"/>
  <c r="H21" i="10"/>
  <c r="H20" i="10"/>
  <c r="H19" i="10"/>
  <c r="H18" i="10"/>
  <c r="R17" i="10"/>
  <c r="E12" i="10"/>
  <c r="H11" i="10"/>
  <c r="H10" i="10"/>
  <c r="C85" i="9"/>
  <c r="C87" i="9" s="1"/>
  <c r="D78" i="9"/>
  <c r="D70" i="9"/>
  <c r="C70" i="9"/>
  <c r="F69" i="9"/>
  <c r="C69" i="9"/>
  <c r="E65" i="9"/>
  <c r="F65" i="9" s="1"/>
  <c r="D64" i="9"/>
  <c r="E64" i="9" s="1"/>
  <c r="F64" i="9" s="1"/>
  <c r="C64" i="9"/>
  <c r="D63" i="9"/>
  <c r="E63" i="9" s="1"/>
  <c r="F63" i="9" s="1"/>
  <c r="C63" i="9"/>
  <c r="D62" i="9"/>
  <c r="E62" i="9" s="1"/>
  <c r="F62" i="9" s="1"/>
  <c r="C62" i="9"/>
  <c r="D61" i="9"/>
  <c r="E61" i="9" s="1"/>
  <c r="F61" i="9" s="1"/>
  <c r="C61" i="9"/>
  <c r="D60" i="9"/>
  <c r="E60" i="9" s="1"/>
  <c r="F60" i="9" s="1"/>
  <c r="C60" i="9"/>
  <c r="D59" i="9"/>
  <c r="E59" i="9" s="1"/>
  <c r="F59" i="9" s="1"/>
  <c r="C59" i="9"/>
  <c r="E58" i="9"/>
  <c r="F58" i="9" s="1"/>
  <c r="E57" i="9"/>
  <c r="F57" i="9" s="1"/>
  <c r="E56" i="9"/>
  <c r="F56" i="9" s="1"/>
  <c r="E55" i="9"/>
  <c r="F55" i="9" s="1"/>
  <c r="E54" i="9"/>
  <c r="F54" i="9" s="1"/>
  <c r="E53" i="9"/>
  <c r="F53" i="9" s="1"/>
  <c r="E52" i="9"/>
  <c r="F52" i="9" s="1"/>
  <c r="E51" i="9"/>
  <c r="F51" i="9" s="1"/>
  <c r="E50" i="9"/>
  <c r="F50" i="9" s="1"/>
  <c r="E49" i="9"/>
  <c r="F49" i="9" s="1"/>
  <c r="E48" i="9"/>
  <c r="F48" i="9" s="1"/>
  <c r="E47" i="9"/>
  <c r="F47" i="9" s="1"/>
  <c r="E46" i="9"/>
  <c r="F46" i="9" s="1"/>
  <c r="E45" i="9"/>
  <c r="F45" i="9" s="1"/>
  <c r="E44" i="9"/>
  <c r="F44" i="9" s="1"/>
  <c r="E43" i="9"/>
  <c r="F43" i="9" s="1"/>
  <c r="E42" i="9"/>
  <c r="F42" i="9" s="1"/>
  <c r="F41" i="9"/>
  <c r="E41" i="9"/>
  <c r="D38" i="9"/>
  <c r="C38" i="9"/>
  <c r="C40" i="9" s="1"/>
  <c r="D37" i="9"/>
  <c r="C37" i="9"/>
  <c r="C39" i="9" s="1"/>
  <c r="D36" i="9"/>
  <c r="E36" i="9" s="1"/>
  <c r="F36" i="9" s="1"/>
  <c r="C36" i="9"/>
  <c r="D33" i="9"/>
  <c r="C33" i="9"/>
  <c r="C35" i="9" s="1"/>
  <c r="D32" i="9"/>
  <c r="C32" i="9"/>
  <c r="C34" i="9" s="1"/>
  <c r="D31" i="9"/>
  <c r="E31" i="9" s="1"/>
  <c r="F31" i="9" s="1"/>
  <c r="C31" i="9"/>
  <c r="D28" i="9"/>
  <c r="C28" i="9"/>
  <c r="C30" i="9" s="1"/>
  <c r="D27" i="9"/>
  <c r="C27" i="9"/>
  <c r="C29" i="9" s="1"/>
  <c r="D26" i="9"/>
  <c r="C26" i="9"/>
  <c r="D25" i="9"/>
  <c r="E25" i="9" s="1"/>
  <c r="F25" i="9" s="1"/>
  <c r="C25" i="9"/>
  <c r="D24" i="9"/>
  <c r="E24" i="9" s="1"/>
  <c r="F24" i="9" s="1"/>
  <c r="C24" i="9"/>
  <c r="E23" i="9"/>
  <c r="F23" i="9" s="1"/>
  <c r="E22" i="9"/>
  <c r="F22" i="9" s="1"/>
  <c r="E21" i="9"/>
  <c r="F21" i="9" s="1"/>
  <c r="D20" i="9"/>
  <c r="E20" i="9" s="1"/>
  <c r="F20" i="9" s="1"/>
  <c r="C20" i="9"/>
  <c r="D19" i="9"/>
  <c r="E19" i="9" s="1"/>
  <c r="F19" i="9" s="1"/>
  <c r="C19" i="9"/>
  <c r="E18" i="9"/>
  <c r="F18" i="9" s="1"/>
  <c r="E17" i="9"/>
  <c r="F17" i="9" s="1"/>
  <c r="E16" i="9"/>
  <c r="F16" i="9" s="1"/>
  <c r="D15" i="9"/>
  <c r="E15" i="9" s="1"/>
  <c r="F15" i="9" s="1"/>
  <c r="C15" i="9"/>
  <c r="D14" i="9"/>
  <c r="E14" i="9" s="1"/>
  <c r="F14" i="9" s="1"/>
  <c r="C14" i="9"/>
  <c r="E13" i="9"/>
  <c r="F13" i="9" s="1"/>
  <c r="E12" i="9"/>
  <c r="F12" i="9" s="1"/>
  <c r="F11" i="9"/>
  <c r="E11" i="9"/>
  <c r="D48" i="8"/>
  <c r="E48" i="8" s="1"/>
  <c r="E47" i="8"/>
  <c r="E46" i="8"/>
  <c r="E45" i="8"/>
  <c r="F43" i="8"/>
  <c r="C42" i="8"/>
  <c r="F41" i="8"/>
  <c r="E41" i="8"/>
  <c r="F40" i="8"/>
  <c r="E40" i="8"/>
  <c r="C39" i="8"/>
  <c r="D38" i="8"/>
  <c r="C38" i="8"/>
  <c r="E32" i="8"/>
  <c r="E31" i="8"/>
  <c r="E30" i="8"/>
  <c r="E29" i="8"/>
  <c r="E28" i="8"/>
  <c r="E27" i="8"/>
  <c r="E26" i="8"/>
  <c r="G21" i="8"/>
  <c r="O16" i="8"/>
  <c r="D16" i="8"/>
  <c r="O15" i="8"/>
  <c r="N15" i="8"/>
  <c r="J15" i="8"/>
  <c r="I15" i="8"/>
  <c r="O14" i="8"/>
  <c r="N14" i="8"/>
  <c r="J14" i="8"/>
  <c r="I14" i="8"/>
  <c r="D14" i="8"/>
  <c r="O13" i="8"/>
  <c r="J13" i="8"/>
  <c r="G12" i="8"/>
  <c r="G11" i="8"/>
  <c r="G10" i="8"/>
  <c r="N7" i="7"/>
  <c r="O7" i="6" s="1"/>
  <c r="E95" i="6"/>
  <c r="X94" i="6"/>
  <c r="Y94" i="6" s="1"/>
  <c r="Z94" i="6" s="1"/>
  <c r="W94" i="6"/>
  <c r="F94" i="6"/>
  <c r="G94" i="6" s="1"/>
  <c r="H94" i="6" s="1"/>
  <c r="E94" i="6"/>
  <c r="K93" i="6"/>
  <c r="O93" i="6" s="1"/>
  <c r="P93" i="6" s="1"/>
  <c r="J93" i="6"/>
  <c r="X91" i="6"/>
  <c r="Y91" i="6" s="1"/>
  <c r="Z91" i="6" s="1"/>
  <c r="W91" i="6"/>
  <c r="S91" i="6"/>
  <c r="T91" i="6" s="1"/>
  <c r="U91" i="6" s="1"/>
  <c r="R91" i="6"/>
  <c r="K91" i="6"/>
  <c r="O91" i="6" s="1"/>
  <c r="P91" i="6" s="1"/>
  <c r="J91" i="6"/>
  <c r="F91" i="6"/>
  <c r="G91" i="6" s="1"/>
  <c r="H91" i="6" s="1"/>
  <c r="E91" i="6"/>
  <c r="X90" i="6"/>
  <c r="Y90" i="6" s="1"/>
  <c r="W90" i="6"/>
  <c r="S90" i="6"/>
  <c r="T90" i="6" s="1"/>
  <c r="J90" i="6"/>
  <c r="F90" i="6"/>
  <c r="G90" i="6" s="1"/>
  <c r="H90" i="6" s="1"/>
  <c r="E90" i="6"/>
  <c r="H83" i="6"/>
  <c r="H82" i="6"/>
  <c r="G82" i="6"/>
  <c r="O82" i="6" s="1"/>
  <c r="G81" i="6"/>
  <c r="O81" i="6" s="1"/>
  <c r="G80" i="6"/>
  <c r="O80" i="6" s="1"/>
  <c r="G79" i="6"/>
  <c r="O79" i="6" s="1"/>
  <c r="G78" i="6"/>
  <c r="O78" i="6" s="1"/>
  <c r="G77" i="6"/>
  <c r="O77" i="6" s="1"/>
  <c r="G75" i="6"/>
  <c r="O75" i="6" s="1"/>
  <c r="G74" i="6"/>
  <c r="O74" i="6" s="1"/>
  <c r="H73" i="6"/>
  <c r="G73" i="6"/>
  <c r="O73" i="6" s="1"/>
  <c r="G70" i="6"/>
  <c r="O70" i="6" s="1"/>
  <c r="O59" i="6" s="1"/>
  <c r="G69" i="6"/>
  <c r="O69" i="6" s="1"/>
  <c r="G68" i="6"/>
  <c r="O68" i="6" s="1"/>
  <c r="G67" i="6"/>
  <c r="G59" i="6"/>
  <c r="G58" i="6"/>
  <c r="G52" i="6"/>
  <c r="D51" i="6"/>
  <c r="D50" i="6"/>
  <c r="D49" i="6"/>
  <c r="D48" i="6"/>
  <c r="S47" i="6"/>
  <c r="K47" i="6"/>
  <c r="D47" i="6"/>
  <c r="H46" i="6"/>
  <c r="D46" i="6"/>
  <c r="D45" i="6"/>
  <c r="S44" i="6"/>
  <c r="K44" i="6"/>
  <c r="D44" i="6"/>
  <c r="D43" i="6"/>
  <c r="S42" i="6"/>
  <c r="K42" i="6"/>
  <c r="S41" i="6"/>
  <c r="K41" i="6"/>
  <c r="H41" i="6"/>
  <c r="S40" i="6"/>
  <c r="K40" i="6"/>
  <c r="S39" i="6"/>
  <c r="K39" i="6"/>
  <c r="S38" i="6"/>
  <c r="K38" i="6"/>
  <c r="H38" i="6"/>
  <c r="S37" i="6"/>
  <c r="K37" i="6"/>
  <c r="AL29" i="6"/>
  <c r="AL28" i="6"/>
  <c r="G27" i="6"/>
  <c r="AL26" i="6"/>
  <c r="H26" i="6"/>
  <c r="P26" i="6" s="1"/>
  <c r="G26" i="6"/>
  <c r="AL25" i="6"/>
  <c r="AK25" i="6"/>
  <c r="G25" i="6"/>
  <c r="AL24" i="6"/>
  <c r="G24" i="6"/>
  <c r="AL23" i="6"/>
  <c r="H23" i="6"/>
  <c r="P23" i="6" s="1"/>
  <c r="G23" i="6"/>
  <c r="AL22" i="6"/>
  <c r="AK22" i="6"/>
  <c r="G22" i="6"/>
  <c r="AL21" i="6"/>
  <c r="G15" i="6"/>
  <c r="G13" i="6"/>
  <c r="P7" i="6"/>
  <c r="G5" i="6"/>
  <c r="B3" i="4"/>
  <c r="B4" i="4" s="1"/>
  <c r="B5" i="4" s="1"/>
  <c r="B6" i="4" s="1"/>
  <c r="B7" i="4" s="1"/>
  <c r="B8" i="4" s="1"/>
  <c r="B9" i="4" s="1"/>
  <c r="B10" i="4" s="1"/>
  <c r="B11" i="4" s="1"/>
  <c r="B12" i="4" s="1"/>
  <c r="B13" i="4" s="1"/>
  <c r="B14" i="4" s="1"/>
  <c r="A27" i="3"/>
  <c r="A26" i="3"/>
  <c r="A25" i="3"/>
  <c r="A24" i="3"/>
  <c r="A23" i="3"/>
  <c r="A22" i="3"/>
  <c r="A21" i="3"/>
  <c r="A20" i="3"/>
  <c r="A19" i="3"/>
  <c r="A18" i="3"/>
  <c r="A17" i="3"/>
  <c r="A16" i="3"/>
  <c r="A15" i="3"/>
  <c r="A14" i="3"/>
  <c r="A13" i="3"/>
  <c r="A12" i="3"/>
  <c r="A11" i="3"/>
  <c r="A10" i="3"/>
  <c r="A9" i="3"/>
  <c r="A8" i="3"/>
  <c r="A7" i="3"/>
  <c r="A6" i="3"/>
  <c r="A5" i="3"/>
  <c r="A4" i="3"/>
  <c r="A3" i="3"/>
  <c r="M109" i="2"/>
  <c r="T108" i="2"/>
  <c r="T104" i="2"/>
  <c r="L103" i="2"/>
  <c r="M102" i="2"/>
  <c r="U101" i="2"/>
  <c r="U103" i="2" s="1"/>
  <c r="T94" i="2"/>
  <c r="M94" i="2"/>
  <c r="M90" i="2"/>
  <c r="T89" i="2"/>
  <c r="M81" i="2"/>
  <c r="N80" i="2"/>
  <c r="H37" i="2"/>
  <c r="H35" i="2"/>
  <c r="H34" i="2"/>
  <c r="AI31" i="2"/>
  <c r="M24" i="2"/>
  <c r="AR23" i="2"/>
  <c r="M23" i="2"/>
  <c r="M22" i="2"/>
  <c r="AR20" i="2"/>
  <c r="M20" i="2"/>
  <c r="M19" i="2"/>
  <c r="I19" i="2"/>
  <c r="M18" i="2"/>
  <c r="AR17" i="2"/>
  <c r="M17" i="2"/>
  <c r="K17" i="2"/>
  <c r="K16" i="2"/>
  <c r="I16" i="2"/>
  <c r="AR15" i="2"/>
  <c r="AQ15" i="2"/>
  <c r="M15" i="2"/>
  <c r="K15" i="2"/>
  <c r="AR14" i="2"/>
  <c r="AQ14" i="2"/>
  <c r="K14" i="2"/>
  <c r="AR13" i="2"/>
  <c r="AQ13" i="2"/>
  <c r="AM13" i="2"/>
  <c r="M13" i="2"/>
  <c r="K13" i="2"/>
  <c r="AM12" i="2"/>
  <c r="AQ12" i="2" s="1"/>
  <c r="K12" i="2"/>
  <c r="AQ11" i="2"/>
  <c r="M11" i="2"/>
  <c r="K11" i="2"/>
  <c r="D11" i="2"/>
  <c r="AM10" i="2"/>
  <c r="AQ10" i="2" s="1"/>
  <c r="M10" i="2"/>
  <c r="K10" i="2"/>
  <c r="AM9" i="2"/>
  <c r="K9" i="2"/>
  <c r="D32" i="1"/>
  <c r="C32" i="1"/>
  <c r="D31" i="1"/>
  <c r="C31" i="1"/>
  <c r="E26" i="1"/>
  <c r="D21" i="1"/>
  <c r="D24" i="1" s="1"/>
  <c r="C21" i="1"/>
  <c r="C24" i="1" s="1"/>
  <c r="C25" i="1" s="1"/>
  <c r="G20" i="1"/>
  <c r="G19" i="1"/>
  <c r="G18" i="1"/>
  <c r="H17" i="1"/>
  <c r="I17" i="1" s="1"/>
  <c r="G17" i="1"/>
  <c r="F17" i="1"/>
  <c r="G16" i="1"/>
  <c r="G15" i="1"/>
  <c r="E15" i="1"/>
  <c r="G14" i="1"/>
  <c r="G13" i="1"/>
  <c r="G12" i="1"/>
  <c r="G11" i="1"/>
  <c r="E11" i="1"/>
  <c r="G10" i="1"/>
  <c r="H9" i="1"/>
  <c r="I9" i="1" s="1"/>
  <c r="G9" i="1"/>
  <c r="F9" i="1"/>
  <c r="G8" i="1"/>
  <c r="E8" i="1"/>
  <c r="H7" i="1"/>
  <c r="G7" i="1"/>
  <c r="F7" i="1"/>
  <c r="G6" i="1"/>
  <c r="H5" i="1"/>
  <c r="G5" i="1"/>
  <c r="F5" i="1"/>
  <c r="H4" i="1"/>
  <c r="G4" i="1"/>
  <c r="G21" i="1" s="1"/>
  <c r="F4" i="1"/>
  <c r="L364" i="21" l="1"/>
  <c r="L123" i="21"/>
  <c r="L573" i="21"/>
  <c r="L315" i="21"/>
  <c r="L581" i="21"/>
  <c r="L564" i="21"/>
  <c r="L196" i="21"/>
  <c r="L322" i="21"/>
  <c r="L298" i="21"/>
  <c r="L296" i="21"/>
  <c r="L260" i="21"/>
  <c r="L248" i="21"/>
  <c r="L167" i="21"/>
  <c r="L314" i="21"/>
  <c r="L293" i="21"/>
  <c r="L244" i="21"/>
  <c r="L238" i="21"/>
  <c r="L208" i="21"/>
  <c r="L214" i="21"/>
  <c r="L254" i="21"/>
  <c r="L490" i="21"/>
  <c r="L261" i="21"/>
  <c r="L448" i="21"/>
  <c r="L303" i="21"/>
  <c r="M225" i="22"/>
  <c r="L405" i="21"/>
  <c r="L388" i="21"/>
  <c r="L157" i="21"/>
  <c r="L125" i="21"/>
  <c r="L421" i="21"/>
  <c r="L216" i="21"/>
  <c r="L156" i="21"/>
  <c r="L179" i="21"/>
  <c r="L145" i="21"/>
  <c r="L278" i="21"/>
  <c r="L231" i="21"/>
  <c r="L226" i="21"/>
  <c r="L301" i="21"/>
  <c r="L235" i="21"/>
  <c r="L162" i="21"/>
  <c r="M258" i="22"/>
  <c r="L284" i="21"/>
  <c r="L242" i="21"/>
  <c r="L178" i="21"/>
  <c r="L131" i="21"/>
  <c r="L243" i="21"/>
  <c r="L288" i="21"/>
  <c r="L217" i="21"/>
  <c r="L199" i="21"/>
  <c r="L239" i="21"/>
  <c r="L321" i="21"/>
  <c r="L163" i="21"/>
  <c r="L141" i="21"/>
  <c r="L289" i="21"/>
  <c r="L126" i="21"/>
  <c r="L354" i="21"/>
  <c r="L399" i="21"/>
  <c r="L147" i="21"/>
  <c r="L341" i="21"/>
  <c r="L410" i="21"/>
  <c r="L520" i="21"/>
  <c r="L464" i="21"/>
  <c r="L439" i="21"/>
  <c r="L384" i="21"/>
  <c r="L507" i="21"/>
  <c r="L379" i="21"/>
  <c r="L465" i="21"/>
  <c r="L453" i="21"/>
  <c r="L438" i="21"/>
  <c r="L570" i="21"/>
  <c r="L568" i="21"/>
  <c r="L566" i="21"/>
  <c r="L562" i="21"/>
  <c r="L355" i="21"/>
  <c r="M419" i="22"/>
  <c r="L362" i="21"/>
  <c r="L567" i="21"/>
  <c r="M236" i="22"/>
  <c r="L375" i="21"/>
  <c r="L149" i="21"/>
  <c r="L366" i="21"/>
  <c r="L372" i="21"/>
  <c r="L359" i="21"/>
  <c r="M247" i="22"/>
  <c r="L136" i="21"/>
  <c r="L558" i="21"/>
  <c r="M230" i="22"/>
  <c r="L578" i="21"/>
  <c r="L128" i="21"/>
  <c r="L357" i="21"/>
  <c r="L374" i="21"/>
  <c r="L148" i="21"/>
  <c r="L132" i="21"/>
  <c r="M256" i="22"/>
  <c r="M227" i="22"/>
  <c r="L343" i="21"/>
  <c r="L144" i="21"/>
  <c r="L350" i="21"/>
  <c r="M228" i="22"/>
  <c r="M434" i="22"/>
  <c r="M245" i="22"/>
  <c r="M238" i="22"/>
  <c r="L559" i="21"/>
  <c r="L137" i="21"/>
  <c r="L130" i="21"/>
  <c r="L344" i="21"/>
  <c r="M466" i="22"/>
  <c r="M463" i="22"/>
  <c r="M446" i="22"/>
  <c r="M440" i="22"/>
  <c r="M423" i="22"/>
  <c r="M421" i="22"/>
  <c r="M416" i="22"/>
  <c r="M414" i="22"/>
  <c r="M229" i="22"/>
  <c r="M467" i="22"/>
  <c r="M454" i="22"/>
  <c r="M452" i="22"/>
  <c r="M450" i="22"/>
  <c r="M443" i="22"/>
  <c r="L352" i="21"/>
  <c r="L133" i="21"/>
  <c r="L368" i="21"/>
  <c r="M431" i="22"/>
  <c r="M411" i="22"/>
  <c r="L356" i="21"/>
  <c r="M429" i="22"/>
  <c r="M234" i="22"/>
  <c r="L361" i="21"/>
  <c r="L351" i="21"/>
  <c r="L139" i="21"/>
  <c r="M266" i="22"/>
  <c r="M264" i="22"/>
  <c r="M219" i="22"/>
  <c r="L560" i="21"/>
  <c r="L346" i="21"/>
  <c r="M457" i="22"/>
  <c r="M449" i="22"/>
  <c r="M436" i="22"/>
  <c r="M571" i="22"/>
  <c r="M570" i="22"/>
  <c r="M567" i="22"/>
  <c r="M566" i="22"/>
  <c r="M564" i="22"/>
  <c r="M563" i="22"/>
  <c r="M561" i="22"/>
  <c r="M560" i="22"/>
  <c r="M556" i="22"/>
  <c r="M553" i="22"/>
  <c r="M550" i="22"/>
  <c r="M548" i="22"/>
  <c r="M545" i="22"/>
  <c r="M542" i="22"/>
  <c r="M539" i="22"/>
  <c r="M536" i="22"/>
  <c r="M534" i="22"/>
  <c r="M532" i="22"/>
  <c r="M530" i="22"/>
  <c r="M528" i="22"/>
  <c r="M527" i="22"/>
  <c r="M525" i="22"/>
  <c r="M523" i="22"/>
  <c r="M521" i="22"/>
  <c r="M519" i="22"/>
  <c r="M517" i="22"/>
  <c r="M515" i="22"/>
  <c r="M513" i="22"/>
  <c r="M511" i="22"/>
  <c r="M510" i="22"/>
  <c r="M508" i="22"/>
  <c r="M504" i="22"/>
  <c r="M502" i="22"/>
  <c r="M500" i="22"/>
  <c r="M499" i="22"/>
  <c r="M497" i="22"/>
  <c r="M495" i="22"/>
  <c r="M493" i="22"/>
  <c r="M491" i="22"/>
  <c r="M490" i="22"/>
  <c r="M488" i="22"/>
  <c r="M485" i="22"/>
  <c r="M482" i="22"/>
  <c r="M480" i="22"/>
  <c r="M478" i="22"/>
  <c r="M477" i="22"/>
  <c r="M475" i="22"/>
  <c r="M474" i="22"/>
  <c r="M471" i="22"/>
  <c r="M470" i="22"/>
  <c r="M460" i="22"/>
  <c r="M427" i="22"/>
  <c r="M425" i="22"/>
  <c r="M254" i="22"/>
  <c r="M240" i="22"/>
  <c r="M237" i="22"/>
  <c r="M284" i="22"/>
  <c r="M283" i="22"/>
  <c r="M282" i="22"/>
  <c r="M281" i="22"/>
  <c r="M280" i="22"/>
  <c r="M278" i="22"/>
  <c r="M276" i="22"/>
  <c r="M273" i="22"/>
  <c r="M271" i="22"/>
  <c r="M268" i="22"/>
  <c r="M262" i="22"/>
  <c r="M260" i="22"/>
  <c r="M252" i="22"/>
  <c r="M241" i="22"/>
  <c r="M232" i="22"/>
  <c r="M65" i="22"/>
  <c r="M64" i="22"/>
  <c r="M61" i="22"/>
  <c r="M60" i="22"/>
  <c r="M57" i="22"/>
  <c r="M56" i="22"/>
  <c r="M55" i="22"/>
  <c r="M54" i="22"/>
  <c r="M53" i="22"/>
  <c r="M52" i="22"/>
  <c r="M51" i="22"/>
  <c r="M50" i="22"/>
  <c r="M49" i="22"/>
  <c r="M48" i="22"/>
  <c r="M47" i="22"/>
  <c r="M46" i="22"/>
  <c r="M45" i="22"/>
  <c r="M44" i="22"/>
  <c r="M43" i="22"/>
  <c r="M42" i="22"/>
  <c r="M41" i="22"/>
  <c r="M40" i="22"/>
  <c r="M39" i="22"/>
  <c r="M38" i="22"/>
  <c r="M37" i="22"/>
  <c r="M34" i="22"/>
  <c r="L571" i="21"/>
  <c r="K210" i="21"/>
  <c r="M253" i="22"/>
  <c r="M248" i="22"/>
  <c r="M242" i="22"/>
  <c r="M233" i="22"/>
  <c r="M226" i="22"/>
  <c r="M438" i="22"/>
  <c r="M33" i="22"/>
  <c r="M31" i="22"/>
  <c r="M30" i="22"/>
  <c r="L30" i="19"/>
  <c r="L31" i="19"/>
  <c r="L32" i="19"/>
  <c r="L33" i="19"/>
  <c r="L34" i="19"/>
  <c r="L35" i="19"/>
  <c r="L36" i="19"/>
  <c r="L262" i="23"/>
  <c r="L256" i="23"/>
  <c r="K22" i="10" s="1"/>
  <c r="K25" i="10" s="1"/>
  <c r="L19" i="23"/>
  <c r="AA17" i="23"/>
  <c r="Y16" i="23" s="1"/>
  <c r="O21" i="22"/>
  <c r="P19" i="22" s="1"/>
  <c r="O27" i="21"/>
  <c r="L2" i="21"/>
  <c r="P21" i="21" s="1"/>
  <c r="P23" i="21" s="1"/>
  <c r="P18" i="21"/>
  <c r="P26" i="21" s="1"/>
  <c r="I7" i="2"/>
  <c r="E18" i="1"/>
  <c r="H50" i="6"/>
  <c r="E19" i="1"/>
  <c r="I9" i="2"/>
  <c r="H49" i="6"/>
  <c r="C39" i="16"/>
  <c r="C41" i="16"/>
  <c r="C40" i="16"/>
  <c r="E13" i="1"/>
  <c r="J19" i="16"/>
  <c r="H19" i="16"/>
  <c r="K15" i="16" s="1"/>
  <c r="I47" i="15"/>
  <c r="N40" i="15"/>
  <c r="P40" i="15" s="1"/>
  <c r="O40" i="15"/>
  <c r="O39" i="15"/>
  <c r="N39" i="15"/>
  <c r="P39" i="15" s="1"/>
  <c r="I46" i="15"/>
  <c r="O38" i="15"/>
  <c r="N38" i="15"/>
  <c r="P38" i="15" s="1"/>
  <c r="I37" i="15"/>
  <c r="O37" i="15"/>
  <c r="N37" i="15"/>
  <c r="P37" i="15" s="1"/>
  <c r="O36" i="15"/>
  <c r="O41" i="15" s="1"/>
  <c r="D54" i="15"/>
  <c r="I36" i="15"/>
  <c r="D52" i="15"/>
  <c r="N36" i="15"/>
  <c r="E41" i="15"/>
  <c r="I31" i="15"/>
  <c r="N24" i="15"/>
  <c r="P24" i="15" s="1"/>
  <c r="O24" i="15"/>
  <c r="O23" i="15"/>
  <c r="N23" i="15"/>
  <c r="P23" i="15" s="1"/>
  <c r="N22" i="15"/>
  <c r="P22" i="15" s="1"/>
  <c r="O22" i="15"/>
  <c r="N21" i="15"/>
  <c r="P21" i="15" s="1"/>
  <c r="O21" i="15"/>
  <c r="N20" i="15"/>
  <c r="P20" i="15" s="1"/>
  <c r="O20" i="15"/>
  <c r="O19" i="15"/>
  <c r="N19" i="15"/>
  <c r="P19" i="15" s="1"/>
  <c r="O18" i="15"/>
  <c r="I30" i="15"/>
  <c r="N18" i="15"/>
  <c r="O17" i="15"/>
  <c r="N17" i="15"/>
  <c r="P17" i="15" s="1"/>
  <c r="I29" i="15"/>
  <c r="N16" i="15"/>
  <c r="O16" i="15"/>
  <c r="I15" i="15"/>
  <c r="N15" i="15"/>
  <c r="P15" i="15" s="1"/>
  <c r="O15" i="15"/>
  <c r="E52" i="15"/>
  <c r="F52" i="15" s="1"/>
  <c r="G52" i="15" s="1"/>
  <c r="E54" i="15"/>
  <c r="F54" i="15" s="1"/>
  <c r="G54" i="15" s="1"/>
  <c r="E25" i="15"/>
  <c r="O14" i="15"/>
  <c r="O25" i="15" s="1"/>
  <c r="N14" i="15"/>
  <c r="I14" i="15"/>
  <c r="J80" i="14"/>
  <c r="D79" i="14"/>
  <c r="C81" i="14"/>
  <c r="C80" i="14" s="1"/>
  <c r="L68" i="14"/>
  <c r="K79" i="14"/>
  <c r="L61" i="14"/>
  <c r="L60" i="14"/>
  <c r="L59" i="14"/>
  <c r="L58" i="14"/>
  <c r="L57" i="14"/>
  <c r="L56" i="14"/>
  <c r="C169" i="14"/>
  <c r="L55" i="14"/>
  <c r="C168" i="14"/>
  <c r="L54" i="14"/>
  <c r="C167" i="14"/>
  <c r="J64" i="14"/>
  <c r="L53" i="14"/>
  <c r="H123" i="14"/>
  <c r="L47" i="14"/>
  <c r="K62" i="14"/>
  <c r="J62" i="14"/>
  <c r="J63" i="14"/>
  <c r="G76" i="6" s="1"/>
  <c r="C42" i="14"/>
  <c r="C41" i="14"/>
  <c r="J42" i="14"/>
  <c r="L33" i="14"/>
  <c r="K40" i="14"/>
  <c r="E149" i="14"/>
  <c r="F149" i="14" s="1"/>
  <c r="D156" i="14"/>
  <c r="E148" i="14"/>
  <c r="F148" i="14" s="1"/>
  <c r="D157" i="14"/>
  <c r="E147" i="14"/>
  <c r="F147" i="14" s="1"/>
  <c r="D158" i="14"/>
  <c r="E158" i="14" s="1"/>
  <c r="F158" i="14" s="1"/>
  <c r="L26" i="14"/>
  <c r="L25" i="14"/>
  <c r="L24" i="14"/>
  <c r="L23" i="14"/>
  <c r="L22" i="14"/>
  <c r="L21" i="14"/>
  <c r="L20" i="14"/>
  <c r="L19" i="14"/>
  <c r="L18" i="14"/>
  <c r="D169" i="14"/>
  <c r="E169" i="14" s="1"/>
  <c r="F169" i="14" s="1"/>
  <c r="L17" i="14"/>
  <c r="D168" i="14"/>
  <c r="E168" i="14" s="1"/>
  <c r="F168" i="14" s="1"/>
  <c r="D167" i="14"/>
  <c r="E167" i="14" s="1"/>
  <c r="F167" i="14" s="1"/>
  <c r="L16" i="14"/>
  <c r="J29" i="14"/>
  <c r="L10" i="14"/>
  <c r="K27" i="14"/>
  <c r="J27" i="14"/>
  <c r="J28" i="14"/>
  <c r="L8" i="13"/>
  <c r="Y14" i="13"/>
  <c r="Y16" i="13" s="1"/>
  <c r="X14" i="13"/>
  <c r="X16" i="13" s="1"/>
  <c r="K8" i="13"/>
  <c r="P39" i="13"/>
  <c r="O37" i="13"/>
  <c r="P18" i="13"/>
  <c r="AB11" i="13"/>
  <c r="W16" i="13"/>
  <c r="Z11" i="13"/>
  <c r="C61" i="12"/>
  <c r="D61" i="12" s="1"/>
  <c r="E61" i="12" s="1"/>
  <c r="D60" i="12"/>
  <c r="E60" i="12" s="1"/>
  <c r="C57" i="12"/>
  <c r="F41" i="12"/>
  <c r="D56" i="12"/>
  <c r="E56" i="12" s="1"/>
  <c r="K94" i="6"/>
  <c r="O94" i="6" s="1"/>
  <c r="P94" i="6" s="1"/>
  <c r="B45" i="11"/>
  <c r="B42" i="11"/>
  <c r="E93" i="6"/>
  <c r="T33" i="11"/>
  <c r="T32" i="11"/>
  <c r="T31" i="11"/>
  <c r="C46" i="11"/>
  <c r="D46" i="11" s="1"/>
  <c r="E46" i="11" s="1"/>
  <c r="R29" i="11"/>
  <c r="S29" i="11" s="1"/>
  <c r="T29" i="11"/>
  <c r="C49" i="11"/>
  <c r="D49" i="11" s="1"/>
  <c r="E49" i="11" s="1"/>
  <c r="R28" i="11"/>
  <c r="S28" i="11" s="1"/>
  <c r="T28" i="11"/>
  <c r="T27" i="11"/>
  <c r="T26" i="11"/>
  <c r="T25" i="11"/>
  <c r="C50" i="11"/>
  <c r="D50" i="11" s="1"/>
  <c r="E50" i="11" s="1"/>
  <c r="R24" i="11"/>
  <c r="S24" i="11" s="1"/>
  <c r="T24" i="11"/>
  <c r="T23" i="11"/>
  <c r="T21" i="11"/>
  <c r="C47" i="11"/>
  <c r="D47" i="11" s="1"/>
  <c r="E47" i="11" s="1"/>
  <c r="R20" i="11"/>
  <c r="S20" i="11" s="1"/>
  <c r="T20" i="11"/>
  <c r="C48" i="11"/>
  <c r="D48" i="11" s="1"/>
  <c r="E48" i="11" s="1"/>
  <c r="R19" i="11"/>
  <c r="S19" i="11" s="1"/>
  <c r="T19" i="11"/>
  <c r="T18" i="11"/>
  <c r="O35" i="11"/>
  <c r="R16" i="11"/>
  <c r="N35" i="11"/>
  <c r="T16" i="11"/>
  <c r="Q16" i="11"/>
  <c r="B34" i="11"/>
  <c r="E16" i="11" s="1"/>
  <c r="C31" i="10"/>
  <c r="J23" i="10"/>
  <c r="K23" i="10"/>
  <c r="J22" i="10"/>
  <c r="J21" i="10"/>
  <c r="K21" i="10"/>
  <c r="K20" i="10"/>
  <c r="J20" i="10"/>
  <c r="J19" i="10"/>
  <c r="K19" i="10"/>
  <c r="K18" i="10"/>
  <c r="J18" i="10"/>
  <c r="H25" i="10"/>
  <c r="D25" i="10" s="1"/>
  <c r="C33" i="10" s="1"/>
  <c r="D31" i="10"/>
  <c r="H12" i="10"/>
  <c r="K11" i="10"/>
  <c r="J11" i="10"/>
  <c r="J10" i="10"/>
  <c r="P16" i="10" s="1"/>
  <c r="P18" i="10" s="1"/>
  <c r="K10" i="10"/>
  <c r="Q16" i="10" s="1"/>
  <c r="E38" i="9"/>
  <c r="F38" i="9" s="1"/>
  <c r="D40" i="9"/>
  <c r="E40" i="9" s="1"/>
  <c r="F40" i="9" s="1"/>
  <c r="E37" i="9"/>
  <c r="F37" i="9" s="1"/>
  <c r="D39" i="9"/>
  <c r="E39" i="9" s="1"/>
  <c r="F39" i="9" s="1"/>
  <c r="D35" i="9"/>
  <c r="E35" i="9" s="1"/>
  <c r="F35" i="9" s="1"/>
  <c r="E33" i="9"/>
  <c r="F33" i="9" s="1"/>
  <c r="D34" i="9"/>
  <c r="E34" i="9" s="1"/>
  <c r="F34" i="9" s="1"/>
  <c r="E32" i="9"/>
  <c r="F32" i="9" s="1"/>
  <c r="D30" i="9"/>
  <c r="E30" i="9" s="1"/>
  <c r="F30" i="9" s="1"/>
  <c r="E28" i="9"/>
  <c r="F28" i="9" s="1"/>
  <c r="D29" i="9"/>
  <c r="E29" i="9" s="1"/>
  <c r="F29" i="9" s="1"/>
  <c r="E27" i="9"/>
  <c r="F27" i="9" s="1"/>
  <c r="F26" i="9"/>
  <c r="E26" i="9"/>
  <c r="D39" i="8"/>
  <c r="D42" i="8"/>
  <c r="F42" i="8" s="1"/>
  <c r="F38" i="8"/>
  <c r="E38" i="8"/>
  <c r="J21" i="8"/>
  <c r="J22" i="8" s="1"/>
  <c r="I21" i="8"/>
  <c r="I22" i="8" s="1"/>
  <c r="C49" i="8" s="1"/>
  <c r="C50" i="8" s="1"/>
  <c r="I12" i="8"/>
  <c r="N13" i="8"/>
  <c r="J12" i="8"/>
  <c r="I11" i="8"/>
  <c r="N6" i="8" s="1"/>
  <c r="J11" i="8"/>
  <c r="O6" i="8" s="1"/>
  <c r="I10" i="8"/>
  <c r="J10" i="8"/>
  <c r="N16" i="8"/>
  <c r="AJ21" i="6"/>
  <c r="AJ22" i="6"/>
  <c r="AJ23" i="6"/>
  <c r="AJ24" i="6"/>
  <c r="AJ25" i="6"/>
  <c r="AJ26" i="6"/>
  <c r="AJ28" i="6"/>
  <c r="O29" i="6"/>
  <c r="AJ29" i="6"/>
  <c r="O30" i="6"/>
  <c r="O37" i="6"/>
  <c r="O38" i="6"/>
  <c r="O39" i="6"/>
  <c r="O40" i="6"/>
  <c r="O41" i="6"/>
  <c r="O42" i="6"/>
  <c r="O44" i="6"/>
  <c r="O47" i="6"/>
  <c r="O51" i="6"/>
  <c r="O43" i="6"/>
  <c r="O45" i="6"/>
  <c r="O46" i="6"/>
  <c r="O48" i="6"/>
  <c r="O49" i="6"/>
  <c r="O50" i="6"/>
  <c r="P83" i="6"/>
  <c r="P82" i="6"/>
  <c r="Q82" i="6" s="1"/>
  <c r="R82" i="6" s="1"/>
  <c r="I82" i="6"/>
  <c r="J82" i="6" s="1"/>
  <c r="P73" i="6"/>
  <c r="Q73" i="6" s="1"/>
  <c r="R73" i="6" s="1"/>
  <c r="I73" i="6"/>
  <c r="J73" i="6" s="1"/>
  <c r="O67" i="6"/>
  <c r="D41" i="6"/>
  <c r="D37" i="6"/>
  <c r="D38" i="6"/>
  <c r="D39" i="6"/>
  <c r="D40" i="6"/>
  <c r="D42" i="6"/>
  <c r="I46" i="6"/>
  <c r="J46" i="6" s="1"/>
  <c r="P46" i="6"/>
  <c r="Q46" i="6" s="1"/>
  <c r="R46" i="6" s="1"/>
  <c r="I41" i="6"/>
  <c r="J41" i="6" s="1"/>
  <c r="P41" i="6"/>
  <c r="Q41" i="6" s="1"/>
  <c r="R41" i="6" s="1"/>
  <c r="I38" i="6"/>
  <c r="J38" i="6" s="1"/>
  <c r="P38" i="6"/>
  <c r="Q38" i="6" s="1"/>
  <c r="R38" i="6" s="1"/>
  <c r="O27" i="6"/>
  <c r="O26" i="6"/>
  <c r="I26" i="6"/>
  <c r="O25" i="6"/>
  <c r="O24" i="6"/>
  <c r="O23" i="6"/>
  <c r="Q23" i="6" s="1"/>
  <c r="R23" i="6" s="1"/>
  <c r="I23" i="6"/>
  <c r="O22" i="6"/>
  <c r="AH22" i="6"/>
  <c r="AH25" i="6"/>
  <c r="Q7" i="6"/>
  <c r="R7" i="6" s="1"/>
  <c r="M97" i="2"/>
  <c r="O90" i="2"/>
  <c r="M91" i="2"/>
  <c r="AR21" i="2"/>
  <c r="M16" i="2"/>
  <c r="M92" i="2"/>
  <c r="O92" i="2" s="1"/>
  <c r="N100" i="2" s="1"/>
  <c r="AR18" i="2"/>
  <c r="AM21" i="2"/>
  <c r="AQ9" i="2"/>
  <c r="AQ24" i="2" s="1"/>
  <c r="AR10" i="2"/>
  <c r="H15" i="1"/>
  <c r="F15" i="1"/>
  <c r="F11" i="1"/>
  <c r="H11" i="1"/>
  <c r="F8" i="1"/>
  <c r="H8" i="1"/>
  <c r="J7" i="1"/>
  <c r="I7" i="1"/>
  <c r="J5" i="1"/>
  <c r="I5" i="1"/>
  <c r="J4" i="1"/>
  <c r="I4" i="1"/>
  <c r="M588" i="22"/>
  <c r="M587" i="22"/>
  <c r="M586" i="22"/>
  <c r="M585" i="22"/>
  <c r="M584" i="22"/>
  <c r="M583" i="22"/>
  <c r="M582" i="22"/>
  <c r="M581" i="22"/>
  <c r="M580" i="22"/>
  <c r="M579" i="22"/>
  <c r="M578" i="22"/>
  <c r="M577" i="22"/>
  <c r="M576" i="22"/>
  <c r="M575" i="22"/>
  <c r="M574" i="22"/>
  <c r="M573" i="22"/>
  <c r="M572" i="22"/>
  <c r="M569" i="22"/>
  <c r="M568" i="22"/>
  <c r="M565" i="22"/>
  <c r="M562" i="22"/>
  <c r="M559" i="22"/>
  <c r="M558" i="22"/>
  <c r="M557" i="22"/>
  <c r="M555" i="22"/>
  <c r="M554" i="22"/>
  <c r="M552" i="22"/>
  <c r="M551" i="22"/>
  <c r="M549" i="22"/>
  <c r="M546" i="22"/>
  <c r="M544" i="22"/>
  <c r="M543" i="22"/>
  <c r="M541" i="22"/>
  <c r="M540" i="22"/>
  <c r="M538" i="22"/>
  <c r="M537" i="22"/>
  <c r="M524" i="22"/>
  <c r="M518" i="22"/>
  <c r="M514" i="22"/>
  <c r="M509" i="22"/>
  <c r="M507" i="22"/>
  <c r="M506" i="22"/>
  <c r="M505" i="22"/>
  <c r="M498" i="22"/>
  <c r="M494" i="22"/>
  <c r="M492" i="22"/>
  <c r="M487" i="22"/>
  <c r="M486" i="22"/>
  <c r="M484" i="22"/>
  <c r="M483" i="22"/>
  <c r="M481" i="22"/>
  <c r="M476" i="22"/>
  <c r="M473" i="22"/>
  <c r="M472" i="22"/>
  <c r="M469" i="22"/>
  <c r="M468" i="22"/>
  <c r="M465" i="22"/>
  <c r="M464" i="22"/>
  <c r="M462" i="22"/>
  <c r="M461" i="22"/>
  <c r="M458" i="22"/>
  <c r="M456" i="22"/>
  <c r="M453" i="22"/>
  <c r="M451" i="22"/>
  <c r="M442" i="22"/>
  <c r="M441" i="22"/>
  <c r="M439" i="22"/>
  <c r="M433" i="22"/>
  <c r="M432" i="22"/>
  <c r="M430" i="22"/>
  <c r="M426" i="22"/>
  <c r="M418" i="22"/>
  <c r="M417" i="22"/>
  <c r="M413" i="22"/>
  <c r="M412" i="22"/>
  <c r="M286" i="22"/>
  <c r="M263" i="22"/>
  <c r="M250" i="22"/>
  <c r="M246" i="22"/>
  <c r="M244" i="22"/>
  <c r="E37" i="16"/>
  <c r="F37" i="16" s="1"/>
  <c r="M410" i="22"/>
  <c r="M409" i="22"/>
  <c r="M408" i="22"/>
  <c r="M407" i="22"/>
  <c r="M406" i="22"/>
  <c r="M405" i="22"/>
  <c r="M404" i="22"/>
  <c r="M403" i="22"/>
  <c r="M402" i="22"/>
  <c r="M401" i="22"/>
  <c r="M400" i="22"/>
  <c r="M399" i="22"/>
  <c r="M398" i="22"/>
  <c r="M397" i="22"/>
  <c r="M396" i="22"/>
  <c r="M395" i="22"/>
  <c r="M394" i="22"/>
  <c r="M393" i="22"/>
  <c r="M392" i="22"/>
  <c r="M391" i="22"/>
  <c r="M390" i="22"/>
  <c r="M389" i="22"/>
  <c r="M388" i="22"/>
  <c r="M387" i="22"/>
  <c r="M386" i="22"/>
  <c r="M385" i="22"/>
  <c r="M384" i="22"/>
  <c r="M383" i="22"/>
  <c r="M382" i="22"/>
  <c r="M381" i="22"/>
  <c r="M380" i="22"/>
  <c r="M379" i="22"/>
  <c r="M378" i="22"/>
  <c r="M377" i="22"/>
  <c r="M376" i="22"/>
  <c r="M375" i="22"/>
  <c r="M374" i="22"/>
  <c r="M373" i="22"/>
  <c r="M372" i="22"/>
  <c r="M371" i="22"/>
  <c r="M370" i="22"/>
  <c r="M369" i="22"/>
  <c r="M368" i="22"/>
  <c r="M367" i="22"/>
  <c r="M366" i="22"/>
  <c r="M365" i="22"/>
  <c r="M364" i="22"/>
  <c r="M363" i="22"/>
  <c r="M362" i="22"/>
  <c r="M361" i="22"/>
  <c r="M360" i="22"/>
  <c r="M359" i="22"/>
  <c r="M358" i="22"/>
  <c r="M357" i="22"/>
  <c r="M356" i="22"/>
  <c r="M355" i="22"/>
  <c r="M354" i="22"/>
  <c r="M353" i="22"/>
  <c r="M352" i="22"/>
  <c r="M351" i="22"/>
  <c r="M350" i="22"/>
  <c r="M349" i="22"/>
  <c r="M348" i="22"/>
  <c r="M347" i="22"/>
  <c r="M346" i="22"/>
  <c r="M345" i="22"/>
  <c r="M344" i="22"/>
  <c r="M343" i="22"/>
  <c r="M342" i="22"/>
  <c r="M341" i="22"/>
  <c r="M340" i="22"/>
  <c r="M339" i="22"/>
  <c r="M338" i="22"/>
  <c r="M337" i="22"/>
  <c r="M336" i="22"/>
  <c r="M335" i="22"/>
  <c r="M334" i="22"/>
  <c r="M333" i="22"/>
  <c r="M332" i="22"/>
  <c r="M331" i="22"/>
  <c r="M330" i="22"/>
  <c r="M329" i="22"/>
  <c r="M328" i="22"/>
  <c r="M327" i="22"/>
  <c r="M326" i="22"/>
  <c r="M325" i="22"/>
  <c r="M324" i="22"/>
  <c r="M323" i="22"/>
  <c r="M322" i="22"/>
  <c r="M321" i="22"/>
  <c r="M320" i="22"/>
  <c r="M319" i="22"/>
  <c r="M318" i="22"/>
  <c r="M317" i="22"/>
  <c r="M316" i="22"/>
  <c r="M315" i="22"/>
  <c r="M314" i="22"/>
  <c r="M313" i="22"/>
  <c r="M312" i="22"/>
  <c r="M311" i="22"/>
  <c r="M310" i="22"/>
  <c r="M309" i="22"/>
  <c r="M308" i="22"/>
  <c r="M307" i="22"/>
  <c r="M306" i="22"/>
  <c r="M305" i="22"/>
  <c r="M304" i="22"/>
  <c r="M303" i="22"/>
  <c r="M302" i="22"/>
  <c r="M301" i="22"/>
  <c r="M300" i="22"/>
  <c r="M299" i="22"/>
  <c r="M298" i="22"/>
  <c r="M297" i="22"/>
  <c r="M296" i="22"/>
  <c r="M295" i="22"/>
  <c r="M294" i="22"/>
  <c r="M293" i="22"/>
  <c r="M292" i="22"/>
  <c r="M291" i="22"/>
  <c r="M290" i="22"/>
  <c r="M289" i="22"/>
  <c r="M288" i="22"/>
  <c r="M287" i="22"/>
  <c r="M285" i="22"/>
  <c r="M279" i="22"/>
  <c r="M277" i="22"/>
  <c r="M275" i="22"/>
  <c r="M274" i="22"/>
  <c r="M272" i="22"/>
  <c r="M270" i="22"/>
  <c r="M269" i="22"/>
  <c r="M267" i="22"/>
  <c r="M265" i="22"/>
  <c r="M261" i="22"/>
  <c r="M231" i="22"/>
  <c r="M223" i="22"/>
  <c r="M221" i="22"/>
  <c r="M59" i="22"/>
  <c r="M35" i="22"/>
  <c r="M29" i="22"/>
  <c r="M218" i="22"/>
  <c r="M217" i="22"/>
  <c r="M216" i="22"/>
  <c r="M215" i="22"/>
  <c r="M214" i="22"/>
  <c r="M213" i="22"/>
  <c r="M212" i="22"/>
  <c r="M211" i="22"/>
  <c r="M210" i="22"/>
  <c r="M209" i="22"/>
  <c r="M208" i="22"/>
  <c r="M207" i="22"/>
  <c r="M206" i="22"/>
  <c r="M205" i="22"/>
  <c r="M204" i="22"/>
  <c r="M203" i="22"/>
  <c r="M202" i="22"/>
  <c r="M201" i="22"/>
  <c r="M200" i="22"/>
  <c r="M199" i="22"/>
  <c r="M198" i="22"/>
  <c r="M197" i="22"/>
  <c r="M196" i="22"/>
  <c r="M195" i="22"/>
  <c r="M194" i="22"/>
  <c r="M193" i="22"/>
  <c r="M192" i="22"/>
  <c r="M191" i="22"/>
  <c r="M190" i="22"/>
  <c r="M189" i="22"/>
  <c r="M188" i="22"/>
  <c r="M187" i="22"/>
  <c r="M186" i="22"/>
  <c r="M185" i="22"/>
  <c r="M184" i="22"/>
  <c r="M183" i="22"/>
  <c r="M182" i="22"/>
  <c r="M181" i="22"/>
  <c r="M180" i="22"/>
  <c r="M179" i="22"/>
  <c r="M178" i="22"/>
  <c r="M177" i="22"/>
  <c r="M176" i="22"/>
  <c r="M175" i="22"/>
  <c r="M174" i="22"/>
  <c r="M173" i="22"/>
  <c r="M172" i="22"/>
  <c r="M171" i="22"/>
  <c r="M170" i="22"/>
  <c r="M169" i="22"/>
  <c r="M168" i="22"/>
  <c r="M167" i="22"/>
  <c r="M166" i="22"/>
  <c r="M165" i="22"/>
  <c r="M164" i="22"/>
  <c r="M163" i="22"/>
  <c r="M162" i="22"/>
  <c r="M161" i="22"/>
  <c r="M160" i="22"/>
  <c r="M159" i="22"/>
  <c r="M158" i="22"/>
  <c r="M157" i="22"/>
  <c r="M156" i="22"/>
  <c r="M155" i="22"/>
  <c r="M154" i="22"/>
  <c r="M153" i="22"/>
  <c r="M152" i="22"/>
  <c r="M151" i="22"/>
  <c r="M150" i="22"/>
  <c r="M149" i="22"/>
  <c r="M148" i="22"/>
  <c r="M147" i="22"/>
  <c r="M146" i="22"/>
  <c r="M145" i="22"/>
  <c r="M144" i="22"/>
  <c r="M143" i="22"/>
  <c r="M142" i="22"/>
  <c r="M141" i="22"/>
  <c r="M140" i="22"/>
  <c r="M139" i="22"/>
  <c r="M138" i="22"/>
  <c r="M137" i="22"/>
  <c r="M136" i="22"/>
  <c r="M135" i="22"/>
  <c r="M134" i="22"/>
  <c r="M133" i="22"/>
  <c r="M132" i="22"/>
  <c r="M131" i="22"/>
  <c r="M130" i="22"/>
  <c r="M129" i="22"/>
  <c r="M128" i="22"/>
  <c r="M127" i="22"/>
  <c r="M126" i="22"/>
  <c r="M125" i="22"/>
  <c r="M124" i="22"/>
  <c r="M123" i="22"/>
  <c r="M122" i="22"/>
  <c r="M121" i="22"/>
  <c r="M120" i="22"/>
  <c r="M119" i="22"/>
  <c r="M118" i="22"/>
  <c r="M117" i="22"/>
  <c r="M116" i="22"/>
  <c r="M115" i="22"/>
  <c r="M114" i="22"/>
  <c r="M113" i="22"/>
  <c r="M112" i="22"/>
  <c r="M111" i="22"/>
  <c r="M110" i="22"/>
  <c r="M109" i="22"/>
  <c r="M108" i="22"/>
  <c r="M107" i="22"/>
  <c r="M106" i="22"/>
  <c r="M105" i="22"/>
  <c r="M104" i="22"/>
  <c r="M103" i="22"/>
  <c r="M102" i="22"/>
  <c r="M101" i="22"/>
  <c r="M100" i="22"/>
  <c r="M99" i="22"/>
  <c r="M98" i="22"/>
  <c r="M97" i="22"/>
  <c r="M96" i="22"/>
  <c r="M95" i="22"/>
  <c r="M94" i="22"/>
  <c r="M93" i="22"/>
  <c r="M92" i="22"/>
  <c r="M91" i="22"/>
  <c r="M90" i="22"/>
  <c r="M89" i="22"/>
  <c r="M88" i="22"/>
  <c r="M87" i="22"/>
  <c r="M86" i="22"/>
  <c r="M85" i="22"/>
  <c r="M84" i="22"/>
  <c r="M83" i="22"/>
  <c r="M82" i="22"/>
  <c r="M81" i="22"/>
  <c r="M80" i="22"/>
  <c r="M79" i="22"/>
  <c r="M78" i="22"/>
  <c r="M77" i="22"/>
  <c r="M76" i="22"/>
  <c r="M75" i="22"/>
  <c r="M74" i="22"/>
  <c r="M73" i="22"/>
  <c r="M72" i="22"/>
  <c r="M71" i="22"/>
  <c r="M70" i="22"/>
  <c r="M69" i="22"/>
  <c r="M68" i="22"/>
  <c r="M67" i="22"/>
  <c r="M66" i="22"/>
  <c r="M62" i="22"/>
  <c r="M28" i="22"/>
  <c r="M26" i="22"/>
  <c r="M25" i="22"/>
  <c r="M24" i="22"/>
  <c r="M23" i="22"/>
  <c r="M22" i="22"/>
  <c r="M21" i="22"/>
  <c r="M20" i="22"/>
  <c r="M19" i="22"/>
  <c r="M18" i="22"/>
  <c r="M17" i="22"/>
  <c r="M16" i="22"/>
  <c r="M15" i="22"/>
  <c r="M14" i="22"/>
  <c r="M13" i="22"/>
  <c r="M12" i="22"/>
  <c r="M11" i="22"/>
  <c r="M10" i="22"/>
  <c r="M9" i="22"/>
  <c r="M8" i="22"/>
  <c r="M7" i="22"/>
  <c r="M6" i="22"/>
  <c r="M5" i="22"/>
  <c r="M4" i="22"/>
  <c r="M3" i="22"/>
  <c r="M2" i="22"/>
  <c r="P6" i="22" s="1"/>
  <c r="L265" i="21"/>
  <c r="Q43" i="13"/>
  <c r="R43" i="13" s="1"/>
  <c r="L78" i="14"/>
  <c r="L77" i="14"/>
  <c r="L76" i="14"/>
  <c r="L75" i="14"/>
  <c r="L74" i="14"/>
  <c r="L73" i="14"/>
  <c r="L72" i="14"/>
  <c r="L71" i="14"/>
  <c r="L70" i="14"/>
  <c r="L69" i="14"/>
  <c r="L39" i="14"/>
  <c r="L38" i="14"/>
  <c r="L37" i="14"/>
  <c r="L36" i="14"/>
  <c r="L35" i="14"/>
  <c r="L34" i="14"/>
  <c r="Z12" i="13"/>
  <c r="Z13" i="13"/>
  <c r="M547" i="22"/>
  <c r="M535" i="22"/>
  <c r="M533" i="22"/>
  <c r="M531" i="22"/>
  <c r="M529" i="22"/>
  <c r="M526" i="22"/>
  <c r="M522" i="22"/>
  <c r="M520" i="22"/>
  <c r="M516" i="22"/>
  <c r="M512" i="22"/>
  <c r="M503" i="22"/>
  <c r="M501" i="22"/>
  <c r="M496" i="22"/>
  <c r="M489" i="22"/>
  <c r="M479" i="22"/>
  <c r="M459" i="22"/>
  <c r="M455" i="22"/>
  <c r="M448" i="22"/>
  <c r="M447" i="22"/>
  <c r="M445" i="22"/>
  <c r="M444" i="22"/>
  <c r="M437" i="22"/>
  <c r="M435" i="22"/>
  <c r="M428" i="22"/>
  <c r="M424" i="22"/>
  <c r="M422" i="22"/>
  <c r="M420" i="22"/>
  <c r="M415" i="22"/>
  <c r="M259" i="22"/>
  <c r="M257" i="22"/>
  <c r="M255" i="22"/>
  <c r="M251" i="22"/>
  <c r="M249" i="22"/>
  <c r="M243" i="22"/>
  <c r="M239" i="22"/>
  <c r="M235" i="22"/>
  <c r="M224" i="22"/>
  <c r="M222" i="22"/>
  <c r="M220" i="22"/>
  <c r="M63" i="22"/>
  <c r="M58" i="22"/>
  <c r="M36" i="22"/>
  <c r="M32" i="22"/>
  <c r="P27" i="21" l="1"/>
  <c r="L210" i="21"/>
  <c r="O23" i="21"/>
  <c r="P24" i="21" s="1"/>
  <c r="L14" i="19"/>
  <c r="L15" i="19"/>
  <c r="L16" i="19"/>
  <c r="L17" i="19"/>
  <c r="L18" i="19"/>
  <c r="L19" i="19"/>
  <c r="L20" i="19"/>
  <c r="L21" i="19"/>
  <c r="L22" i="19"/>
  <c r="L23" i="19"/>
  <c r="L24" i="19"/>
  <c r="L25" i="19"/>
  <c r="L26" i="19"/>
  <c r="L27" i="19"/>
  <c r="L28" i="19"/>
  <c r="L29" i="19"/>
  <c r="P20" i="22"/>
  <c r="O6" i="22"/>
  <c r="J7" i="2"/>
  <c r="AR9" i="2"/>
  <c r="AR24" i="2" s="1"/>
  <c r="AT32" i="2" s="1"/>
  <c r="J12" i="2"/>
  <c r="J15" i="2"/>
  <c r="I18" i="2"/>
  <c r="D7" i="2"/>
  <c r="F18" i="1"/>
  <c r="H18" i="1"/>
  <c r="I50" i="6"/>
  <c r="J50" i="6" s="1"/>
  <c r="P50" i="6"/>
  <c r="Q50" i="6" s="1"/>
  <c r="R50" i="6" s="1"/>
  <c r="H81" i="6"/>
  <c r="F19" i="1"/>
  <c r="H19" i="1"/>
  <c r="J9" i="2"/>
  <c r="AR11" i="2"/>
  <c r="I49" i="6"/>
  <c r="J49" i="6" s="1"/>
  <c r="P49" i="6"/>
  <c r="Q49" i="6" s="1"/>
  <c r="R49" i="6" s="1"/>
  <c r="H69" i="6"/>
  <c r="F13" i="1"/>
  <c r="H13" i="1"/>
  <c r="D39" i="16"/>
  <c r="E39" i="16" s="1"/>
  <c r="F39" i="16" s="1"/>
  <c r="D40" i="16"/>
  <c r="E40" i="16" s="1"/>
  <c r="F40" i="16" s="1"/>
  <c r="D41" i="16"/>
  <c r="E41" i="16" s="1"/>
  <c r="F41" i="16" s="1"/>
  <c r="H48" i="6"/>
  <c r="K18" i="16"/>
  <c r="K17" i="16"/>
  <c r="K16" i="16"/>
  <c r="K19" i="16" s="1"/>
  <c r="D36" i="16"/>
  <c r="E36" i="16" s="1"/>
  <c r="F36" i="16" s="1"/>
  <c r="I48" i="15"/>
  <c r="J46" i="15" s="1"/>
  <c r="X16" i="15"/>
  <c r="J37" i="15"/>
  <c r="J36" i="15"/>
  <c r="I41" i="15"/>
  <c r="P36" i="15"/>
  <c r="N41" i="15"/>
  <c r="P41" i="15" s="1"/>
  <c r="D57" i="15" s="1"/>
  <c r="K31" i="15"/>
  <c r="K30" i="15"/>
  <c r="P18" i="15"/>
  <c r="L30" i="15"/>
  <c r="K29" i="15"/>
  <c r="I32" i="15"/>
  <c r="P16" i="15"/>
  <c r="L29" i="15"/>
  <c r="J15" i="15"/>
  <c r="X15" i="15"/>
  <c r="P14" i="15"/>
  <c r="N25" i="15"/>
  <c r="J14" i="15"/>
  <c r="I25" i="15"/>
  <c r="J81" i="14"/>
  <c r="C166" i="14"/>
  <c r="N113" i="14"/>
  <c r="C165" i="14"/>
  <c r="L62" i="14"/>
  <c r="K63" i="14"/>
  <c r="O76" i="6"/>
  <c r="N111" i="14"/>
  <c r="D165" i="14"/>
  <c r="E165" i="14" s="1"/>
  <c r="F165" i="14" s="1"/>
  <c r="D166" i="14"/>
  <c r="E156" i="14"/>
  <c r="F156" i="14" s="1"/>
  <c r="F96" i="6"/>
  <c r="G96" i="6" s="1"/>
  <c r="H96" i="6" s="1"/>
  <c r="E157" i="14"/>
  <c r="F157" i="14" s="1"/>
  <c r="K96" i="6"/>
  <c r="O96" i="6" s="1"/>
  <c r="P96" i="6" s="1"/>
  <c r="L29" i="14"/>
  <c r="D160" i="14" s="1"/>
  <c r="E10" i="1"/>
  <c r="H44" i="6"/>
  <c r="L27" i="14"/>
  <c r="I17" i="2"/>
  <c r="I11" i="2"/>
  <c r="H36" i="2"/>
  <c r="L28" i="14"/>
  <c r="E14" i="1"/>
  <c r="H45" i="6"/>
  <c r="H76" i="6"/>
  <c r="Q39" i="13"/>
  <c r="R39" i="13" s="1"/>
  <c r="O42" i="13"/>
  <c r="O40" i="13"/>
  <c r="R95" i="6" s="1"/>
  <c r="O38" i="13"/>
  <c r="J95" i="6" s="1"/>
  <c r="O41" i="13"/>
  <c r="O44" i="13"/>
  <c r="W95" i="6" s="1"/>
  <c r="O45" i="13"/>
  <c r="O46" i="13"/>
  <c r="P29" i="13"/>
  <c r="R29" i="13" s="1"/>
  <c r="Q29" i="13"/>
  <c r="P37" i="13"/>
  <c r="P40" i="13" s="1"/>
  <c r="F95" i="6"/>
  <c r="G95" i="6" s="1"/>
  <c r="H95" i="6" s="1"/>
  <c r="Z16" i="13"/>
  <c r="H43" i="6"/>
  <c r="E16" i="1"/>
  <c r="D57" i="12"/>
  <c r="E57" i="12" s="1"/>
  <c r="S94" i="6"/>
  <c r="T94" i="6" s="1"/>
  <c r="U94" i="6" s="1"/>
  <c r="R36" i="11"/>
  <c r="C44" i="11"/>
  <c r="E6" i="1"/>
  <c r="H40" i="6"/>
  <c r="S16" i="11"/>
  <c r="R35" i="11"/>
  <c r="Q30" i="11"/>
  <c r="Q17" i="11"/>
  <c r="Q22" i="11"/>
  <c r="C40" i="11"/>
  <c r="E20" i="11"/>
  <c r="E21" i="11"/>
  <c r="E22" i="11"/>
  <c r="E23" i="11"/>
  <c r="E24" i="11"/>
  <c r="E29" i="11"/>
  <c r="C36" i="11"/>
  <c r="E17" i="11"/>
  <c r="E18" i="11"/>
  <c r="E19" i="11"/>
  <c r="E25" i="11"/>
  <c r="E26" i="11"/>
  <c r="E27" i="11"/>
  <c r="E28" i="11"/>
  <c r="E30" i="11"/>
  <c r="E31" i="11"/>
  <c r="E32" i="11"/>
  <c r="E33" i="11"/>
  <c r="E33" i="10"/>
  <c r="F33" i="10"/>
  <c r="C32" i="10"/>
  <c r="J92" i="6" s="1"/>
  <c r="G41" i="10"/>
  <c r="E92" i="6"/>
  <c r="J25" i="10"/>
  <c r="G72" i="6"/>
  <c r="F31" i="10"/>
  <c r="D32" i="10"/>
  <c r="F92" i="6"/>
  <c r="G92" i="6" s="1"/>
  <c r="H92" i="6" s="1"/>
  <c r="E31" i="10"/>
  <c r="J12" i="10"/>
  <c r="H72" i="6"/>
  <c r="Q18" i="10"/>
  <c r="R16" i="10"/>
  <c r="R18" i="10" s="1"/>
  <c r="F39" i="8"/>
  <c r="K90" i="6"/>
  <c r="O90" i="6" s="1"/>
  <c r="P90" i="6" s="1"/>
  <c r="P6" i="8"/>
  <c r="H71" i="6"/>
  <c r="I16" i="8"/>
  <c r="N5" i="8"/>
  <c r="J16" i="8"/>
  <c r="K16" i="8" s="1"/>
  <c r="H37" i="6" s="1"/>
  <c r="O5" i="8"/>
  <c r="O52" i="6"/>
  <c r="O5" i="6"/>
  <c r="O58" i="6"/>
  <c r="Q26" i="6"/>
  <c r="R26" i="6" s="1"/>
  <c r="O15" i="6"/>
  <c r="J26" i="6"/>
  <c r="L26" i="6"/>
  <c r="J23" i="6"/>
  <c r="L23" i="6"/>
  <c r="O13" i="6"/>
  <c r="O94" i="2"/>
  <c r="O87" i="2"/>
  <c r="P87" i="2" s="1"/>
  <c r="O88" i="2"/>
  <c r="O89" i="2"/>
  <c r="O93" i="2"/>
  <c r="O95" i="2"/>
  <c r="O96" i="2"/>
  <c r="O91" i="2"/>
  <c r="AR16" i="2"/>
  <c r="I15" i="1"/>
  <c r="J15" i="1"/>
  <c r="I11" i="1"/>
  <c r="J11" i="1"/>
  <c r="I8" i="1"/>
  <c r="J8" i="1"/>
  <c r="H42" i="6"/>
  <c r="I10" i="2"/>
  <c r="E12" i="1"/>
  <c r="P48" i="13"/>
  <c r="Q48" i="13" s="1"/>
  <c r="R48" i="13" s="1"/>
  <c r="P47" i="13"/>
  <c r="L79" i="14"/>
  <c r="L40" i="14"/>
  <c r="Z14" i="13"/>
  <c r="K12" i="10"/>
  <c r="L12" i="10" s="1"/>
  <c r="H39" i="6" s="1"/>
  <c r="D52" i="6"/>
  <c r="K22" i="8"/>
  <c r="G71" i="6" s="1"/>
  <c r="J16" i="2"/>
  <c r="J13" i="2"/>
  <c r="J8" i="2"/>
  <c r="D53" i="15"/>
  <c r="E97" i="6" s="1"/>
  <c r="G40" i="15"/>
  <c r="G37" i="15"/>
  <c r="G36" i="15"/>
  <c r="G41" i="15" s="1"/>
  <c r="G39" i="15"/>
  <c r="G38" i="15"/>
  <c r="E53" i="15"/>
  <c r="G18" i="15"/>
  <c r="G19" i="15"/>
  <c r="G23" i="15"/>
  <c r="G22" i="15"/>
  <c r="G21" i="15"/>
  <c r="G16" i="15"/>
  <c r="G20" i="15"/>
  <c r="G15" i="15"/>
  <c r="G14" i="15"/>
  <c r="G17" i="15"/>
  <c r="G24" i="15"/>
  <c r="L64" i="14"/>
  <c r="C160" i="14" s="1"/>
  <c r="H133" i="14"/>
  <c r="H131" i="14"/>
  <c r="H128" i="14"/>
  <c r="H126" i="14"/>
  <c r="H127" i="14"/>
  <c r="H129" i="14"/>
  <c r="H124" i="14"/>
  <c r="H125" i="14"/>
  <c r="I133" i="14"/>
  <c r="J133" i="14" s="1"/>
  <c r="I132" i="14"/>
  <c r="J132" i="14" s="1"/>
  <c r="I123" i="14"/>
  <c r="I125" i="14"/>
  <c r="J125" i="14" s="1"/>
  <c r="I124" i="14"/>
  <c r="J124" i="14" s="1"/>
  <c r="I126" i="14"/>
  <c r="J126" i="14" s="1"/>
  <c r="I127" i="14"/>
  <c r="J127" i="14" s="1"/>
  <c r="I130" i="14"/>
  <c r="J130" i="14" s="1"/>
  <c r="I131" i="14"/>
  <c r="J131" i="14" s="1"/>
  <c r="I128" i="14"/>
  <c r="J128" i="14" s="1"/>
  <c r="I129" i="14"/>
  <c r="J129" i="14" s="1"/>
  <c r="AB16" i="13"/>
  <c r="W18" i="13"/>
  <c r="R93" i="6"/>
  <c r="B43" i="11"/>
  <c r="Q29" i="11"/>
  <c r="D53" i="11" s="1"/>
  <c r="Q31" i="11"/>
  <c r="Q32" i="11"/>
  <c r="Q33" i="11"/>
  <c r="Q19" i="11"/>
  <c r="D55" i="11" s="1"/>
  <c r="Q20" i="11"/>
  <c r="D54" i="11" s="1"/>
  <c r="Q21" i="11"/>
  <c r="Q27" i="11"/>
  <c r="Q23" i="11"/>
  <c r="Q18" i="11"/>
  <c r="Q24" i="11"/>
  <c r="D57" i="11" s="1"/>
  <c r="Q25" i="11"/>
  <c r="Q26" i="11"/>
  <c r="Q28" i="11"/>
  <c r="D56" i="11" s="1"/>
  <c r="P22" i="10"/>
  <c r="D12" i="10"/>
  <c r="L13" i="2" l="1"/>
  <c r="L16" i="2"/>
  <c r="J18" i="2"/>
  <c r="L9" i="2"/>
  <c r="L21" i="2" s="1"/>
  <c r="L12" i="2"/>
  <c r="L15" i="2"/>
  <c r="M7" i="2"/>
  <c r="D10" i="2"/>
  <c r="I18" i="1"/>
  <c r="J18" i="1"/>
  <c r="P81" i="6"/>
  <c r="Q81" i="6" s="1"/>
  <c r="R81" i="6" s="1"/>
  <c r="I81" i="6"/>
  <c r="J81" i="6" s="1"/>
  <c r="I19" i="1"/>
  <c r="J19" i="1"/>
  <c r="P69" i="6"/>
  <c r="Q69" i="6" s="1"/>
  <c r="R69" i="6" s="1"/>
  <c r="I69" i="6"/>
  <c r="J69" i="6" s="1"/>
  <c r="I13" i="1"/>
  <c r="J13" i="1"/>
  <c r="I48" i="6"/>
  <c r="J48" i="6" s="1"/>
  <c r="P48" i="6"/>
  <c r="Q48" i="6" s="1"/>
  <c r="R48" i="6" s="1"/>
  <c r="H77" i="6"/>
  <c r="J47" i="15"/>
  <c r="J48" i="15" s="1"/>
  <c r="I42" i="15"/>
  <c r="J42" i="15" s="1"/>
  <c r="D55" i="15" s="1"/>
  <c r="R97" i="6" s="1"/>
  <c r="J41" i="15"/>
  <c r="D56" i="15"/>
  <c r="J97" i="6" s="1"/>
  <c r="D58" i="15"/>
  <c r="G60" i="15"/>
  <c r="H60" i="15" s="1"/>
  <c r="K32" i="15"/>
  <c r="I26" i="15"/>
  <c r="J26" i="15" s="1"/>
  <c r="E55" i="15" s="1"/>
  <c r="P25" i="15"/>
  <c r="I14" i="2"/>
  <c r="J25" i="15"/>
  <c r="E56" i="15"/>
  <c r="C159" i="14"/>
  <c r="G28" i="6"/>
  <c r="L63" i="14"/>
  <c r="G83" i="6"/>
  <c r="E160" i="14"/>
  <c r="F160" i="14" s="1"/>
  <c r="D163" i="14"/>
  <c r="E163" i="14" s="1"/>
  <c r="F163" i="14" s="1"/>
  <c r="D155" i="14"/>
  <c r="E155" i="14" s="1"/>
  <c r="F155" i="14" s="1"/>
  <c r="F10" i="1"/>
  <c r="H10" i="1"/>
  <c r="I44" i="6"/>
  <c r="J44" i="6" s="1"/>
  <c r="H75" i="6"/>
  <c r="P44" i="6"/>
  <c r="Q44" i="6" s="1"/>
  <c r="R44" i="6" s="1"/>
  <c r="J17" i="2"/>
  <c r="L17" i="2"/>
  <c r="M21" i="2"/>
  <c r="AR22" i="2"/>
  <c r="J11" i="2"/>
  <c r="L11" i="2"/>
  <c r="D9" i="2"/>
  <c r="E9" i="2" s="1"/>
  <c r="M9" i="2"/>
  <c r="I136" i="14"/>
  <c r="I137" i="14"/>
  <c r="I138" i="14"/>
  <c r="I139" i="14"/>
  <c r="I140" i="14"/>
  <c r="I141" i="14"/>
  <c r="D161" i="14"/>
  <c r="F14" i="1"/>
  <c r="H14" i="1"/>
  <c r="P45" i="6"/>
  <c r="Q45" i="6" s="1"/>
  <c r="R45" i="6" s="1"/>
  <c r="I45" i="6"/>
  <c r="J45" i="6" s="1"/>
  <c r="H28" i="6"/>
  <c r="I76" i="6"/>
  <c r="J76" i="6" s="1"/>
  <c r="P76" i="6"/>
  <c r="Q76" i="6" s="1"/>
  <c r="R76" i="6" s="1"/>
  <c r="Q40" i="13"/>
  <c r="R40" i="13" s="1"/>
  <c r="S95" i="6"/>
  <c r="T95" i="6" s="1"/>
  <c r="U95" i="6" s="1"/>
  <c r="Q37" i="13"/>
  <c r="R37" i="13" s="1"/>
  <c r="R51" i="13" s="1"/>
  <c r="P38" i="13"/>
  <c r="P41" i="13"/>
  <c r="Q41" i="13" s="1"/>
  <c r="R41" i="13" s="1"/>
  <c r="P44" i="13"/>
  <c r="P45" i="13"/>
  <c r="Q45" i="13" s="1"/>
  <c r="R45" i="13" s="1"/>
  <c r="P46" i="13"/>
  <c r="Q46" i="13" s="1"/>
  <c r="R46" i="13" s="1"/>
  <c r="P43" i="6"/>
  <c r="Q43" i="6" s="1"/>
  <c r="R43" i="6" s="1"/>
  <c r="H78" i="6"/>
  <c r="I43" i="6"/>
  <c r="J43" i="6" s="1"/>
  <c r="F16" i="1"/>
  <c r="H16" i="1"/>
  <c r="D44" i="11"/>
  <c r="E44" i="11" s="1"/>
  <c r="C45" i="11"/>
  <c r="D45" i="11" s="1"/>
  <c r="E45" i="11" s="1"/>
  <c r="C43" i="11"/>
  <c r="D43" i="11" s="1"/>
  <c r="E43" i="11" s="1"/>
  <c r="F6" i="1"/>
  <c r="H6" i="1"/>
  <c r="I40" i="6"/>
  <c r="J40" i="6" s="1"/>
  <c r="P40" i="6"/>
  <c r="Q40" i="6" s="1"/>
  <c r="R40" i="6" s="1"/>
  <c r="H74" i="6"/>
  <c r="H25" i="6"/>
  <c r="D40" i="11"/>
  <c r="E40" i="11" s="1"/>
  <c r="C42" i="11"/>
  <c r="F93" i="6"/>
  <c r="G93" i="6" s="1"/>
  <c r="H93" i="6" s="1"/>
  <c r="L25" i="10"/>
  <c r="C34" i="10"/>
  <c r="H33" i="2"/>
  <c r="O72" i="6"/>
  <c r="K92" i="6"/>
  <c r="O92" i="6" s="1"/>
  <c r="P92" i="6" s="1"/>
  <c r="E32" i="10"/>
  <c r="F32" i="10"/>
  <c r="I72" i="6"/>
  <c r="J72" i="6" s="1"/>
  <c r="P72" i="6"/>
  <c r="Q72" i="6" s="1"/>
  <c r="R72" i="6" s="1"/>
  <c r="P71" i="6"/>
  <c r="I71" i="6"/>
  <c r="J71" i="6" s="1"/>
  <c r="P5" i="8"/>
  <c r="N7" i="8"/>
  <c r="P7" i="8" s="1"/>
  <c r="H67" i="6"/>
  <c r="H22" i="6"/>
  <c r="P37" i="6"/>
  <c r="I37" i="6"/>
  <c r="O7" i="8"/>
  <c r="H79" i="6"/>
  <c r="I42" i="6"/>
  <c r="J42" i="6" s="1"/>
  <c r="P42" i="6"/>
  <c r="Q42" i="6" s="1"/>
  <c r="R42" i="6" s="1"/>
  <c r="H70" i="6"/>
  <c r="H27" i="6"/>
  <c r="J10" i="2"/>
  <c r="L10" i="2"/>
  <c r="AR12" i="2"/>
  <c r="D8" i="2"/>
  <c r="F12" i="1"/>
  <c r="H12" i="1"/>
  <c r="Q47" i="13"/>
  <c r="R47" i="13" s="1"/>
  <c r="P42" i="13"/>
  <c r="Q42" i="13" s="1"/>
  <c r="R42" i="13" s="1"/>
  <c r="H24" i="6"/>
  <c r="P39" i="6"/>
  <c r="Q39" i="6" s="1"/>
  <c r="R39" i="6" s="1"/>
  <c r="I39" i="6"/>
  <c r="J39" i="6" s="1"/>
  <c r="O71" i="6"/>
  <c r="F97" i="6"/>
  <c r="G97" i="6" s="1"/>
  <c r="H97" i="6" s="1"/>
  <c r="F53" i="15"/>
  <c r="G53" i="15" s="1"/>
  <c r="C155" i="14"/>
  <c r="C163" i="14"/>
  <c r="I134" i="14"/>
  <c r="J123" i="14"/>
  <c r="X17" i="15"/>
  <c r="E166" i="14"/>
  <c r="F166" i="14" s="1"/>
  <c r="R30" i="13"/>
  <c r="R31" i="13" s="1"/>
  <c r="Q35" i="11"/>
  <c r="E34" i="11"/>
  <c r="D34" i="10"/>
  <c r="D49" i="8"/>
  <c r="G25" i="15"/>
  <c r="H134" i="14"/>
  <c r="L37" i="19"/>
  <c r="J31" i="15"/>
  <c r="J30" i="15"/>
  <c r="J29" i="15"/>
  <c r="J32" i="15" s="1"/>
  <c r="D159" i="14"/>
  <c r="J43" i="14"/>
  <c r="I77" i="6" l="1"/>
  <c r="J77" i="6" s="1"/>
  <c r="P77" i="6"/>
  <c r="Q77" i="6" s="1"/>
  <c r="R77" i="6" s="1"/>
  <c r="F55" i="15"/>
  <c r="G55" i="15" s="1"/>
  <c r="S97" i="6"/>
  <c r="T97" i="6" s="1"/>
  <c r="U97" i="6" s="1"/>
  <c r="E57" i="15"/>
  <c r="H47" i="6"/>
  <c r="J14" i="2"/>
  <c r="L14" i="2"/>
  <c r="M14" i="2"/>
  <c r="AR19" i="2"/>
  <c r="F56" i="15"/>
  <c r="G56" i="15" s="1"/>
  <c r="K97" i="6"/>
  <c r="O97" i="6" s="1"/>
  <c r="P97" i="6" s="1"/>
  <c r="C162" i="14"/>
  <c r="F172" i="14"/>
  <c r="G172" i="14" s="1"/>
  <c r="C153" i="14"/>
  <c r="G31" i="6"/>
  <c r="I28" i="6"/>
  <c r="O28" i="6"/>
  <c r="G14" i="6"/>
  <c r="G16" i="6" s="1"/>
  <c r="AJ27" i="6"/>
  <c r="AL27" i="6"/>
  <c r="D28" i="6"/>
  <c r="AI27" i="6" s="1"/>
  <c r="H136" i="14"/>
  <c r="H137" i="14"/>
  <c r="J137" i="14" s="1"/>
  <c r="H138" i="14"/>
  <c r="J138" i="14" s="1"/>
  <c r="H139" i="14"/>
  <c r="J139" i="14" s="1"/>
  <c r="H140" i="14"/>
  <c r="J140" i="14" s="1"/>
  <c r="H141" i="14"/>
  <c r="J141" i="14" s="1"/>
  <c r="C161" i="14"/>
  <c r="I83" i="6"/>
  <c r="J83" i="6" s="1"/>
  <c r="O83" i="6"/>
  <c r="Q83" i="6" s="1"/>
  <c r="R83" i="6" s="1"/>
  <c r="I10" i="1"/>
  <c r="J10" i="1"/>
  <c r="I75" i="6"/>
  <c r="J75" i="6" s="1"/>
  <c r="P75" i="6"/>
  <c r="Q75" i="6" s="1"/>
  <c r="R75" i="6" s="1"/>
  <c r="I142" i="14"/>
  <c r="J136" i="14"/>
  <c r="E161" i="14"/>
  <c r="F161" i="14" s="1"/>
  <c r="D164" i="14"/>
  <c r="D154" i="14"/>
  <c r="I14" i="1"/>
  <c r="J14" i="1"/>
  <c r="P28" i="6"/>
  <c r="AH27" i="6"/>
  <c r="AK27" i="6"/>
  <c r="Q38" i="13"/>
  <c r="R38" i="13" s="1"/>
  <c r="K95" i="6"/>
  <c r="O95" i="6" s="1"/>
  <c r="P95" i="6" s="1"/>
  <c r="Q44" i="13"/>
  <c r="R44" i="13" s="1"/>
  <c r="X95" i="6"/>
  <c r="Y95" i="6" s="1"/>
  <c r="Z95" i="6" s="1"/>
  <c r="I78" i="6"/>
  <c r="J78" i="6" s="1"/>
  <c r="P78" i="6"/>
  <c r="Q78" i="6" s="1"/>
  <c r="R78" i="6" s="1"/>
  <c r="I16" i="1"/>
  <c r="J16" i="1"/>
  <c r="I6" i="1"/>
  <c r="J6" i="1"/>
  <c r="I74" i="6"/>
  <c r="J74" i="6" s="1"/>
  <c r="P74" i="6"/>
  <c r="Q74" i="6" s="1"/>
  <c r="R74" i="6" s="1"/>
  <c r="I25" i="6"/>
  <c r="P25" i="6"/>
  <c r="H14" i="6"/>
  <c r="I14" i="6" s="1"/>
  <c r="J14" i="6" s="1"/>
  <c r="AH24" i="6"/>
  <c r="AK24" i="6"/>
  <c r="D42" i="11"/>
  <c r="E42" i="11" s="1"/>
  <c r="S93" i="6"/>
  <c r="T93" i="6" s="1"/>
  <c r="U93" i="6" s="1"/>
  <c r="C35" i="10"/>
  <c r="G43" i="10" s="1"/>
  <c r="G42" i="10"/>
  <c r="F45" i="10"/>
  <c r="H38" i="2"/>
  <c r="I33" i="2" s="1"/>
  <c r="Q71" i="6"/>
  <c r="R71" i="6" s="1"/>
  <c r="P67" i="6"/>
  <c r="I67" i="6"/>
  <c r="I22" i="6"/>
  <c r="P22" i="6"/>
  <c r="H13" i="6"/>
  <c r="I13" i="6" s="1"/>
  <c r="J13" i="6" s="1"/>
  <c r="AH21" i="6"/>
  <c r="AK21" i="6"/>
  <c r="Q37" i="6"/>
  <c r="R37" i="6" s="1"/>
  <c r="J37" i="6"/>
  <c r="P79" i="6"/>
  <c r="I79" i="6"/>
  <c r="J79" i="6" s="1"/>
  <c r="P70" i="6"/>
  <c r="I70" i="6"/>
  <c r="J70" i="6" s="1"/>
  <c r="H59" i="6"/>
  <c r="I59" i="6" s="1"/>
  <c r="J59" i="6" s="1"/>
  <c r="I27" i="6"/>
  <c r="P27" i="6"/>
  <c r="Q27" i="6" s="1"/>
  <c r="R27" i="6" s="1"/>
  <c r="AH26" i="6"/>
  <c r="AK26" i="6"/>
  <c r="E8" i="2"/>
  <c r="M8" i="2"/>
  <c r="I12" i="1"/>
  <c r="J12" i="1"/>
  <c r="I24" i="6"/>
  <c r="P24" i="6"/>
  <c r="Q24" i="6" s="1"/>
  <c r="R24" i="6" s="1"/>
  <c r="AH23" i="6"/>
  <c r="AK23" i="6"/>
  <c r="O84" i="6"/>
  <c r="O60" i="6"/>
  <c r="O61" i="6" s="1"/>
  <c r="E34" i="10"/>
  <c r="D35" i="10"/>
  <c r="F34" i="10"/>
  <c r="F49" i="8"/>
  <c r="E49" i="8"/>
  <c r="D50" i="8"/>
  <c r="E20" i="1"/>
  <c r="H51" i="6"/>
  <c r="D153" i="14"/>
  <c r="E153" i="14" s="1"/>
  <c r="F153" i="14" s="1"/>
  <c r="D162" i="14"/>
  <c r="E162" i="14" s="1"/>
  <c r="F162" i="14" s="1"/>
  <c r="E159" i="14"/>
  <c r="F159" i="14" s="1"/>
  <c r="E10" i="2"/>
  <c r="E7" i="2"/>
  <c r="G60" i="6"/>
  <c r="G61" i="6" s="1"/>
  <c r="G84" i="6"/>
  <c r="D83" i="6" s="1"/>
  <c r="F57" i="15" l="1"/>
  <c r="G57" i="15" s="1"/>
  <c r="E58" i="15"/>
  <c r="F58" i="15" s="1"/>
  <c r="G58" i="15" s="1"/>
  <c r="H52" i="6"/>
  <c r="H5" i="6"/>
  <c r="I5" i="6" s="1"/>
  <c r="J5" i="6" s="1"/>
  <c r="I47" i="6"/>
  <c r="H29" i="6"/>
  <c r="E47" i="6"/>
  <c r="F47" i="6" s="1"/>
  <c r="P47" i="6"/>
  <c r="H80" i="6"/>
  <c r="D31" i="6"/>
  <c r="AI30" i="6" s="1"/>
  <c r="AL30" i="6"/>
  <c r="AJ30" i="6"/>
  <c r="D30" i="6"/>
  <c r="AI29" i="6" s="1"/>
  <c r="D29" i="6"/>
  <c r="AI28" i="6" s="1"/>
  <c r="D27" i="6"/>
  <c r="AI26" i="6" s="1"/>
  <c r="D26" i="6"/>
  <c r="D25" i="6"/>
  <c r="D24" i="6"/>
  <c r="AI23" i="6" s="1"/>
  <c r="D23" i="6"/>
  <c r="AI22" i="6" s="1"/>
  <c r="D22" i="6"/>
  <c r="O31" i="6"/>
  <c r="J28" i="6"/>
  <c r="M28" i="6"/>
  <c r="L28" i="6" s="1"/>
  <c r="O14" i="6"/>
  <c r="O16" i="6" s="1"/>
  <c r="Q28" i="6"/>
  <c r="R28" i="6" s="1"/>
  <c r="C164" i="14"/>
  <c r="E164" i="14" s="1"/>
  <c r="F164" i="14" s="1"/>
  <c r="C154" i="14"/>
  <c r="E154" i="14" s="1"/>
  <c r="F154" i="14" s="1"/>
  <c r="N25" i="6"/>
  <c r="L25" i="6"/>
  <c r="J25" i="6"/>
  <c r="Q25" i="6"/>
  <c r="R25" i="6" s="1"/>
  <c r="P14" i="6"/>
  <c r="I36" i="2"/>
  <c r="I37" i="2"/>
  <c r="I34" i="2"/>
  <c r="I35" i="2"/>
  <c r="Q67" i="6"/>
  <c r="R67" i="6" s="1"/>
  <c r="J67" i="6"/>
  <c r="M22" i="6"/>
  <c r="L22" i="6"/>
  <c r="J22" i="6"/>
  <c r="Q22" i="6"/>
  <c r="R22" i="6" s="1"/>
  <c r="P13" i="6"/>
  <c r="Q13" i="6" s="1"/>
  <c r="R13" i="6" s="1"/>
  <c r="Q70" i="6"/>
  <c r="R70" i="6" s="1"/>
  <c r="P59" i="6"/>
  <c r="Q59" i="6" s="1"/>
  <c r="R59" i="6" s="1"/>
  <c r="N27" i="6"/>
  <c r="L27" i="6"/>
  <c r="J27" i="6"/>
  <c r="M24" i="6"/>
  <c r="L24" i="6"/>
  <c r="J24" i="6"/>
  <c r="E35" i="10"/>
  <c r="F35" i="10"/>
  <c r="F50" i="8"/>
  <c r="E50" i="8"/>
  <c r="E21" i="1"/>
  <c r="H20" i="1"/>
  <c r="F20" i="1"/>
  <c r="F21" i="1" s="1"/>
  <c r="H30" i="6"/>
  <c r="P51" i="6"/>
  <c r="Q51" i="6" s="1"/>
  <c r="R51" i="6" s="1"/>
  <c r="I51" i="6"/>
  <c r="J51" i="6" s="1"/>
  <c r="E51" i="6"/>
  <c r="F51" i="6" s="1"/>
  <c r="H68" i="6"/>
  <c r="D67" i="6"/>
  <c r="D69" i="6"/>
  <c r="D78" i="6"/>
  <c r="D79" i="6"/>
  <c r="D81" i="6"/>
  <c r="D68" i="6"/>
  <c r="D70" i="6"/>
  <c r="D59" i="6" s="1"/>
  <c r="D73" i="6"/>
  <c r="D74" i="6"/>
  <c r="D75" i="6"/>
  <c r="D77" i="6"/>
  <c r="D80" i="6"/>
  <c r="D82" i="6"/>
  <c r="D76" i="6"/>
  <c r="D71" i="6"/>
  <c r="D72" i="6"/>
  <c r="H142" i="14"/>
  <c r="Q79" i="6"/>
  <c r="R79" i="6" s="1"/>
  <c r="E41" i="6" l="1"/>
  <c r="F41" i="6" s="1"/>
  <c r="E38" i="6"/>
  <c r="F38" i="6" s="1"/>
  <c r="E46" i="6"/>
  <c r="F46" i="6" s="1"/>
  <c r="E50" i="6"/>
  <c r="F50" i="6" s="1"/>
  <c r="E49" i="6"/>
  <c r="F49" i="6" s="1"/>
  <c r="E37" i="6"/>
  <c r="E40" i="6"/>
  <c r="F40" i="6" s="1"/>
  <c r="E43" i="6"/>
  <c r="F43" i="6" s="1"/>
  <c r="E45" i="6"/>
  <c r="F45" i="6" s="1"/>
  <c r="E44" i="6"/>
  <c r="F44" i="6" s="1"/>
  <c r="E48" i="6"/>
  <c r="F48" i="6" s="1"/>
  <c r="E39" i="6"/>
  <c r="F39" i="6" s="1"/>
  <c r="E42" i="6"/>
  <c r="F42" i="6" s="1"/>
  <c r="I52" i="6"/>
  <c r="J52" i="6" s="1"/>
  <c r="J47" i="6"/>
  <c r="H31" i="6"/>
  <c r="I29" i="6"/>
  <c r="P29" i="6"/>
  <c r="H15" i="6"/>
  <c r="AG28" i="6"/>
  <c r="AH28" i="6"/>
  <c r="AK28" i="6"/>
  <c r="P5" i="6"/>
  <c r="Q5" i="6" s="1"/>
  <c r="R5" i="6" s="1"/>
  <c r="P52" i="6"/>
  <c r="Q52" i="6" s="1"/>
  <c r="R52" i="6" s="1"/>
  <c r="Q47" i="6"/>
  <c r="R47" i="6" s="1"/>
  <c r="H60" i="6"/>
  <c r="I60" i="6" s="1"/>
  <c r="J60" i="6" s="1"/>
  <c r="P80" i="6"/>
  <c r="I80" i="6"/>
  <c r="J80" i="6" s="1"/>
  <c r="D15" i="6"/>
  <c r="AI25" i="6"/>
  <c r="D14" i="6"/>
  <c r="AI24" i="6"/>
  <c r="D13" i="6"/>
  <c r="AI21" i="6"/>
  <c r="D28" i="1"/>
  <c r="E24" i="1"/>
  <c r="J22" i="1"/>
  <c r="E27" i="1"/>
  <c r="H21" i="1"/>
  <c r="I20" i="1"/>
  <c r="J20" i="1"/>
  <c r="I30" i="6"/>
  <c r="P30" i="6"/>
  <c r="Q30" i="6" s="1"/>
  <c r="R30" i="6" s="1"/>
  <c r="AH29" i="6"/>
  <c r="AK29" i="6"/>
  <c r="H58" i="6"/>
  <c r="H84" i="6"/>
  <c r="E80" i="6" s="1"/>
  <c r="F80" i="6" s="1"/>
  <c r="P68" i="6"/>
  <c r="E68" i="6"/>
  <c r="F68" i="6" s="1"/>
  <c r="I68" i="6"/>
  <c r="D84" i="6"/>
  <c r="D58" i="6"/>
  <c r="Q14" i="6"/>
  <c r="R14" i="6" s="1"/>
  <c r="D60" i="6"/>
  <c r="D61" i="6" s="1"/>
  <c r="E52" i="6" l="1"/>
  <c r="F52" i="6" s="1"/>
  <c r="F37" i="6"/>
  <c r="I31" i="6"/>
  <c r="J31" i="6" s="1"/>
  <c r="E31" i="6"/>
  <c r="AK30" i="6"/>
  <c r="AH30" i="6"/>
  <c r="AG30" i="6"/>
  <c r="E26" i="6"/>
  <c r="AG25" i="6"/>
  <c r="E23" i="6"/>
  <c r="F23" i="6" s="1"/>
  <c r="AG22" i="6"/>
  <c r="P31" i="6"/>
  <c r="Q31" i="6" s="1"/>
  <c r="R31" i="6" s="1"/>
  <c r="AG23" i="6"/>
  <c r="E27" i="6"/>
  <c r="F27" i="6" s="1"/>
  <c r="AG26" i="6"/>
  <c r="E22" i="6"/>
  <c r="AG21" i="6"/>
  <c r="AG24" i="6"/>
  <c r="E25" i="6"/>
  <c r="E28" i="6"/>
  <c r="F28" i="6" s="1"/>
  <c r="AG27" i="6"/>
  <c r="E24" i="6"/>
  <c r="F24" i="6" s="1"/>
  <c r="J29" i="6"/>
  <c r="N29" i="6"/>
  <c r="Q29" i="6"/>
  <c r="R29" i="6" s="1"/>
  <c r="P15" i="6"/>
  <c r="I15" i="6"/>
  <c r="J15" i="6" s="1"/>
  <c r="H16" i="6"/>
  <c r="I16" i="6" s="1"/>
  <c r="J16" i="6" s="1"/>
  <c r="P60" i="6"/>
  <c r="Q60" i="6" s="1"/>
  <c r="R60" i="6" s="1"/>
  <c r="Q80" i="6"/>
  <c r="R80" i="6" s="1"/>
  <c r="E29" i="1"/>
  <c r="D25" i="1"/>
  <c r="E25" i="1"/>
  <c r="I21" i="1"/>
  <c r="J21" i="1"/>
  <c r="J30" i="6"/>
  <c r="M30" i="6"/>
  <c r="M31" i="6" s="1"/>
  <c r="H61" i="6"/>
  <c r="I61" i="6" s="1"/>
  <c r="J61" i="6" s="1"/>
  <c r="I58" i="6"/>
  <c r="J58" i="6" s="1"/>
  <c r="E82" i="6"/>
  <c r="F82" i="6" s="1"/>
  <c r="E73" i="6"/>
  <c r="F73" i="6" s="1"/>
  <c r="E83" i="6"/>
  <c r="F83" i="6" s="1"/>
  <c r="E69" i="6"/>
  <c r="F69" i="6" s="1"/>
  <c r="E76" i="6"/>
  <c r="F76" i="6" s="1"/>
  <c r="E72" i="6"/>
  <c r="F72" i="6" s="1"/>
  <c r="E71" i="6"/>
  <c r="E81" i="6"/>
  <c r="F81" i="6" s="1"/>
  <c r="E77" i="6"/>
  <c r="F77" i="6" s="1"/>
  <c r="E70" i="6"/>
  <c r="E79" i="6"/>
  <c r="F79" i="6" s="1"/>
  <c r="E74" i="6"/>
  <c r="F74" i="6" s="1"/>
  <c r="E78" i="6"/>
  <c r="F78" i="6" s="1"/>
  <c r="E75" i="6"/>
  <c r="F75" i="6" s="1"/>
  <c r="E67" i="6"/>
  <c r="P58" i="6"/>
  <c r="P84" i="6"/>
  <c r="Q84" i="6" s="1"/>
  <c r="R84" i="6" s="1"/>
  <c r="Q68" i="6"/>
  <c r="R68" i="6" s="1"/>
  <c r="I84" i="6"/>
  <c r="J84" i="6" s="1"/>
  <c r="J68" i="6"/>
  <c r="D16" i="6"/>
  <c r="E29" i="6"/>
  <c r="F29" i="6" s="1"/>
  <c r="AG29" i="6"/>
  <c r="E30" i="6"/>
  <c r="F30" i="6" s="1"/>
  <c r="F26" i="6" l="1"/>
  <c r="E15" i="6"/>
  <c r="E13" i="6"/>
  <c r="F13" i="6" s="1"/>
  <c r="F22" i="6"/>
  <c r="E14" i="6"/>
  <c r="F14" i="6" s="1"/>
  <c r="F25" i="6"/>
  <c r="P16" i="6"/>
  <c r="Q15" i="6"/>
  <c r="E60" i="6"/>
  <c r="F71" i="6"/>
  <c r="E59" i="6"/>
  <c r="F59" i="6" s="1"/>
  <c r="F70" i="6"/>
  <c r="F67" i="6"/>
  <c r="F84" i="6" s="1"/>
  <c r="E58" i="6"/>
  <c r="F58" i="6" s="1"/>
  <c r="E84" i="6"/>
  <c r="Q58" i="6"/>
  <c r="R58" i="6" s="1"/>
  <c r="P61" i="6"/>
  <c r="Q61" i="6" s="1"/>
  <c r="R61" i="6" s="1"/>
  <c r="M32" i="6"/>
  <c r="N31" i="6"/>
  <c r="N32" i="6" s="1"/>
  <c r="L29" i="6"/>
  <c r="L31" i="6" s="1"/>
  <c r="L32" i="6" s="1"/>
  <c r="F15" i="6" l="1"/>
  <c r="E16" i="6"/>
  <c r="F16" i="6" s="1"/>
  <c r="R15" i="6"/>
  <c r="Q16" i="6"/>
  <c r="R16" i="6" s="1"/>
  <c r="F60" i="6"/>
  <c r="F61" i="6" s="1"/>
  <c r="E61" i="6"/>
  <c r="F3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4" authorId="0" shapeId="0" xr:uid="{00000000-0006-0000-0000-000003000000}">
      <text>
        <r>
          <rPr>
            <sz val="10"/>
            <color rgb="FF414141"/>
            <rFont val="Arial"/>
            <family val="2"/>
            <scheme val="minor"/>
          </rPr>
          <t>======
ID#AAAApnOPSrQ
tc={10A1C600-D6E2-4C34-96CC-C39C2FBA4AC7}    (2023-02-07 14:43:58)
[Comentario encadenado]
Su versión de Excel le permite leer este comentario encadenado; sin embargo, las ediciones que se apliquen se quitarán si el archivo se abre en una versión más reciente de Excel. Más información: https://go.microsoft.com/fwlink/?linkid=870924
Comentario:
    Preliminar ingeniería</t>
        </r>
      </text>
    </comment>
    <comment ref="E5" authorId="0" shapeId="0" xr:uid="{00000000-0006-0000-0000-000002000000}">
      <text>
        <r>
          <rPr>
            <sz val="10"/>
            <color rgb="FF414141"/>
            <rFont val="Arial"/>
            <family val="2"/>
            <scheme val="minor"/>
          </rPr>
          <t>======
ID#AAAApnOPSrU
tc={1FF2DBF0-A628-4BBD-8142-E607A12ED80B}    (2023-02-07 14:43:58)
[Comentario encadenado]
Su versión de Excel le permite leer este comentario encadenado; sin embargo, las ediciones que se apliquen se quitarán si el archivo se abre en una versión más reciente de Excel. Más información: https://go.microsoft.com/fwlink/?linkid=870924
Comentario:
    Preliminar diego</t>
        </r>
      </text>
    </comment>
    <comment ref="E7" authorId="0" shapeId="0" xr:uid="{00000000-0006-0000-0000-000001000000}">
      <text>
        <r>
          <rPr>
            <sz val="10"/>
            <color rgb="FF414141"/>
            <rFont val="Arial"/>
            <family val="2"/>
            <scheme val="minor"/>
          </rPr>
          <t>======
ID#AAAApnOPSrk
tc={DB5E2F94-FA41-4278-B28E-8401F2E785B6}    (2023-02-07 14:43:58)
[Comentario encadenado]
Su versión de Excel le permite leer este comentario encadenado; sin embargo, las ediciones que se apliquen se quitarán si el archivo se abre en una versión más reciente de Excel. Más información: https://go.microsoft.com/fwlink/?linkid=870924
Comentario:
    Preliminar diego</t>
        </r>
      </text>
    </comment>
  </commentList>
  <extLst>
    <ext xmlns:r="http://schemas.openxmlformats.org/officeDocument/2006/relationships" uri="GoogleSheetsCustomDataVersion2">
      <go:sheetsCustomData xmlns:go="http://customooxmlschemas.google.com/" r:id="rId1" roundtripDataSignature="AMtx7mgiokgn24r3REONbFMBbz6wOn4fZ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H30" authorId="0" shapeId="0" xr:uid="{00000000-0006-0000-1200-000001000000}">
      <text>
        <r>
          <rPr>
            <sz val="10"/>
            <color rgb="FF414141"/>
            <rFont val="Arial"/>
            <family val="2"/>
            <scheme val="minor"/>
          </rPr>
          <t>======
ID#AAAAwSgUakw
Danilo Munoz M.    (2023-05-03 16:15:34)
Este gas es GLP</t>
        </r>
      </text>
    </comment>
  </commentList>
  <extLst>
    <ext xmlns:r="http://schemas.openxmlformats.org/officeDocument/2006/relationships" uri="GoogleSheetsCustomDataVersion2">
      <go:sheetsCustomData xmlns:go="http://customooxmlschemas.google.com/" r:id="rId1" roundtripDataSignature="AMtx7miIfrq1qdwV42fE53t+UAWeuuUT/w=="/>
    </ext>
  </extLst>
</comments>
</file>

<file path=xl/sharedStrings.xml><?xml version="1.0" encoding="utf-8"?>
<sst xmlns="http://schemas.openxmlformats.org/spreadsheetml/2006/main" count="14678" uniqueCount="4260">
  <si>
    <t>VISTA 1: 2022 ESTIMADO</t>
  </si>
  <si>
    <t>Estimado</t>
  </si>
  <si>
    <t>Real</t>
  </si>
  <si>
    <t>Categorias segun impacto en toneladas</t>
  </si>
  <si>
    <t>2022 estimado</t>
  </si>
  <si>
    <t>2022 real</t>
  </si>
  <si>
    <t>Dif 2022 estimado</t>
  </si>
  <si>
    <t>kgCO2/pieza</t>
  </si>
  <si>
    <t>Dif</t>
  </si>
  <si>
    <t>Explicación</t>
  </si>
  <si>
    <t>Cat 1: Transporte aéreo</t>
  </si>
  <si>
    <t>Modifiación en la metodología para las emisiones generadas por LATAM Airlines</t>
  </si>
  <si>
    <t>Cat 1: Distribución</t>
  </si>
  <si>
    <t>Cambio metodologico, se incluye distribución realizada por flota propia</t>
  </si>
  <si>
    <t>Cat 1: Bienes y servicios - Compra de servicios e insumos</t>
  </si>
  <si>
    <t>Cambio metodologico, se recategorizan cuentas con equipo de finanzas</t>
  </si>
  <si>
    <t>Cat 1: Transporte terrestre terceros - troncal</t>
  </si>
  <si>
    <t>Cambio metodologico,se incluye flota troncal propia y se calculan las emisiones con fuente de información distinta (reporte área de transporte)</t>
  </si>
  <si>
    <t>Cat 7: Traslado de trabajadores</t>
  </si>
  <si>
    <t>Cambio metodologico, estimación realizada en basea emisión por colaborador 2021, 2022 en basea encuesta fe hábitos de transporte pa el año de calculo</t>
  </si>
  <si>
    <t>Transporte propio</t>
  </si>
  <si>
    <t>Desaparece esta categoría y su impacto se refleja en las categorías de distribución y transporte troncal</t>
  </si>
  <si>
    <t>Cat 1: Bienes y servicios - Insumos operacionales</t>
  </si>
  <si>
    <t>Estimación en base a proyección de demanda, desviación en base a compra real de noviembre y diciembre</t>
  </si>
  <si>
    <t>Cat 12: Fin de vida de productos vendidos</t>
  </si>
  <si>
    <t>Compra de electricidad</t>
  </si>
  <si>
    <t>Cambio de metodología, cálculo 2022 considera vigencia mensual de cada instalación y nuevos criterios de estimiación</t>
  </si>
  <si>
    <t>Cat 2: Bienes de capital</t>
  </si>
  <si>
    <t>Cat 1: Empaque</t>
  </si>
  <si>
    <t>Estimación en base a proyección de demanda, desviació en base a compra real de noviembre y diciembre</t>
  </si>
  <si>
    <t>Cat 5: Residuos generados en las operaciones</t>
  </si>
  <si>
    <t>Estimación en base a proyección de demanda, desviación en base a generación real de noviembre y diciembre (incorporación de factor de emisión de residuos peligrosos)</t>
  </si>
  <si>
    <t xml:space="preserve">Cat 3: Otras Emisiones energía </t>
  </si>
  <si>
    <t>Cat 3: Otras Emisiones combustibles (Transporte propio)</t>
  </si>
  <si>
    <t>Cat 6: Viajes de negocio</t>
  </si>
  <si>
    <t xml:space="preserve">Cambio metodologico, estimación en base a proyección de demanda, real calculado en base a registros internos </t>
  </si>
  <si>
    <t>Emisiones fugitivas</t>
  </si>
  <si>
    <t>Combustión- fuentes fijas</t>
  </si>
  <si>
    <t>Se declara una mayor cantidad de generadores y calefactores en centros de distribución a nivel nacional</t>
  </si>
  <si>
    <t>TOTAL</t>
  </si>
  <si>
    <t>Total de encomiendas y valijas</t>
  </si>
  <si>
    <t>kgCO2e/pieza</t>
  </si>
  <si>
    <t>Resumen de Huella de Carbono 2021 Chilexpres</t>
  </si>
  <si>
    <t>*Categorías en gris no aplican para la huella de carbono de Chilexpress</t>
  </si>
  <si>
    <t>Comparación 2020/2021</t>
  </si>
  <si>
    <t>Alcance</t>
  </si>
  <si>
    <r>
      <rPr>
        <b/>
        <sz val="10"/>
        <color rgb="FF414141"/>
        <rFont val="Arial"/>
        <family val="2"/>
      </rPr>
      <t>Emisiones de GEI (tCO</t>
    </r>
    <r>
      <rPr>
        <b/>
        <vertAlign val="subscript"/>
        <sz val="10"/>
        <color rgb="FF414141"/>
        <rFont val="Arial"/>
        <family val="2"/>
      </rPr>
      <t>2</t>
    </r>
    <r>
      <rPr>
        <b/>
        <sz val="10"/>
        <color rgb="FF414141"/>
        <rFont val="Arial"/>
        <family val="2"/>
      </rPr>
      <t>-e)</t>
    </r>
  </si>
  <si>
    <t>%</t>
  </si>
  <si>
    <t>Categoría</t>
  </si>
  <si>
    <r>
      <rPr>
        <b/>
        <sz val="10"/>
        <color rgb="FF414141"/>
        <rFont val="Arial"/>
        <family val="2"/>
      </rPr>
      <t>Emisiones de GEI (tCO</t>
    </r>
    <r>
      <rPr>
        <b/>
        <vertAlign val="subscript"/>
        <sz val="10"/>
        <color rgb="FF414141"/>
        <rFont val="Arial"/>
        <family val="2"/>
      </rPr>
      <t>2</t>
    </r>
    <r>
      <rPr>
        <b/>
        <sz val="10"/>
        <color rgb="FF414141"/>
        <rFont val="Arial"/>
        <family val="2"/>
      </rPr>
      <t>-e)</t>
    </r>
  </si>
  <si>
    <t>Alcance 1</t>
  </si>
  <si>
    <t>Alcance 2</t>
  </si>
  <si>
    <t>Combustión- fuentes móviles</t>
  </si>
  <si>
    <t>Medio terrestre - Petróleo 2 (Diesel)</t>
  </si>
  <si>
    <t>Alcance 3</t>
  </si>
  <si>
    <t>Medio terrestre - Gasolina</t>
  </si>
  <si>
    <t>Medio terrestre - Gas natural</t>
  </si>
  <si>
    <t>Emisiones indirectas transporte aéreo</t>
  </si>
  <si>
    <t>Cat 1: Compra de bienes y servicios</t>
  </si>
  <si>
    <t>Generador - Petróleo 2 (Diésel)</t>
  </si>
  <si>
    <t>R410A - R410A</t>
  </si>
  <si>
    <t>Cat 3: Otras emisiones de energía y combustibles</t>
  </si>
  <si>
    <t>EMISIONES INDIRECTAS POR ENERGÍA IMPORTADA</t>
  </si>
  <si>
    <t>Sistema Eléctrico de Los Lagos - Sistema Eléctrico de Los Lagos</t>
  </si>
  <si>
    <t>Cat 1: Transporte terrestre terceros</t>
  </si>
  <si>
    <t>Sistema Eléctrico de Aysén - Sistema Eléctrico de Aysén</t>
  </si>
  <si>
    <t>Cat 3: Emisiones energía y combustibles</t>
  </si>
  <si>
    <t>Sistema Eléctrico de Magallanes - Sistema Eléctrico de Magallanes</t>
  </si>
  <si>
    <t>Cat 1: Bienes y servicios</t>
  </si>
  <si>
    <t>Sistema Eléctrico Nacional - Sistema Eléctrico Nacional</t>
  </si>
  <si>
    <t>OTRAS EMISIONES INDIRECTAS DE GEI</t>
  </si>
  <si>
    <t>Transporte de carga 1 - Usar FE propio</t>
  </si>
  <si>
    <t>Transporte de carga 2 - Usar FE propio</t>
  </si>
  <si>
    <t>Cat 14: Franquicias</t>
  </si>
  <si>
    <t>Productos - aéreos - Aéreo - Avión trayecto doméstico (Chile continental)</t>
  </si>
  <si>
    <t>Bienes adquiridos - Papel</t>
  </si>
  <si>
    <t>Bienes adquiridos - Plásticos: Plástico film promedio</t>
  </si>
  <si>
    <t>Bienes adquiridos - Plásticos: Polietileno de baja densidad (LDPE) y LLDPE</t>
  </si>
  <si>
    <t>OTRAS EMISIONES DE GEI FUERA DEL INVENTARIO</t>
  </si>
  <si>
    <t>Montreal - HCFC-22/R22</t>
  </si>
  <si>
    <t>Ítem</t>
  </si>
  <si>
    <r>
      <rPr>
        <b/>
        <sz val="10"/>
        <color rgb="FF414141"/>
        <rFont val="Arial"/>
        <family val="2"/>
      </rPr>
      <t>Emisiones de GEI (tCO</t>
    </r>
    <r>
      <rPr>
        <b/>
        <vertAlign val="subscript"/>
        <sz val="10"/>
        <color rgb="FF414141"/>
        <rFont val="Arial"/>
        <family val="2"/>
      </rPr>
      <t>2</t>
    </r>
    <r>
      <rPr>
        <b/>
        <sz val="10"/>
        <color rgb="FF414141"/>
        <rFont val="Arial"/>
        <family val="2"/>
      </rPr>
      <t>-e)</t>
    </r>
  </si>
  <si>
    <t>Transporte terrestre terceros</t>
  </si>
  <si>
    <t>Transporte aéreo</t>
  </si>
  <si>
    <t>Insumos</t>
  </si>
  <si>
    <t>Empaque</t>
  </si>
  <si>
    <t>Servicios</t>
  </si>
  <si>
    <t>Total</t>
  </si>
  <si>
    <r>
      <rPr>
        <b/>
        <sz val="10"/>
        <color rgb="FF414141"/>
        <rFont val="Arial"/>
        <family val="2"/>
      </rPr>
      <t>Emisiones de GEI (tCO</t>
    </r>
    <r>
      <rPr>
        <b/>
        <vertAlign val="subscript"/>
        <sz val="10"/>
        <color rgb="FF414141"/>
        <rFont val="Arial"/>
        <family val="2"/>
      </rPr>
      <t>2</t>
    </r>
    <r>
      <rPr>
        <b/>
        <sz val="10"/>
        <color rgb="FF414141"/>
        <rFont val="Arial"/>
        <family val="2"/>
      </rPr>
      <t>-e)</t>
    </r>
  </si>
  <si>
    <t>Transporte terrestre terceros local</t>
  </si>
  <si>
    <t>Transporte terrestre terceros troncal</t>
  </si>
  <si>
    <t>Transporte terrestre propio</t>
  </si>
  <si>
    <t>Transporte colaboradores</t>
  </si>
  <si>
    <t xml:space="preserve">Empaque y  Fin de vida </t>
  </si>
  <si>
    <t>Electricidad</t>
  </si>
  <si>
    <t>Otros</t>
  </si>
  <si>
    <t>Fin de vida</t>
  </si>
  <si>
    <t>Fugitivas</t>
  </si>
  <si>
    <t>Otras emisiones de energia</t>
  </si>
  <si>
    <t>fijas</t>
  </si>
  <si>
    <t>Residuos generados en las operaciones</t>
  </si>
  <si>
    <t>Viajes de negocio</t>
  </si>
  <si>
    <t>Energía</t>
  </si>
  <si>
    <t>Combustible</t>
  </si>
  <si>
    <t>Bienes de Capital</t>
  </si>
  <si>
    <t>Categoría de negocio</t>
  </si>
  <si>
    <t>Categorias GHG Protocol</t>
  </si>
  <si>
    <t>Factores de emisión</t>
  </si>
  <si>
    <t>Respaldo</t>
  </si>
  <si>
    <t>Categoria GHG Protocol</t>
  </si>
  <si>
    <t>Definición Protocolo GHG (OFICIAL)</t>
  </si>
  <si>
    <t>Incluida (SI/NO)</t>
  </si>
  <si>
    <t>Justificación de exclusión</t>
  </si>
  <si>
    <t>Fuente de información</t>
  </si>
  <si>
    <t>Unidad</t>
  </si>
  <si>
    <t>Licenciamiento</t>
  </si>
  <si>
    <t>link</t>
  </si>
  <si>
    <t>Responsable de respaldo</t>
  </si>
  <si>
    <t>Jefatura Responsable</t>
  </si>
  <si>
    <t>Tipo de respaldo</t>
  </si>
  <si>
    <t>Origen del dato</t>
  </si>
  <si>
    <t>Fuentes móviles (Transporte propio troncal)</t>
  </si>
  <si>
    <t>Emisiones de fuentes móviles propias o alquiladas (tanto en carretera y vehículos que no son de carretera) que se encuentran dentro de los límites del inventario de la empresa</t>
  </si>
  <si>
    <t>Sí</t>
  </si>
  <si>
    <t>incluida</t>
  </si>
  <si>
    <t>IPCC 2006</t>
  </si>
  <si>
    <t>kg CO2e/l</t>
  </si>
  <si>
    <t>No</t>
  </si>
  <si>
    <t>Diego Maturana</t>
  </si>
  <si>
    <t>Andres Gruettner</t>
  </si>
  <si>
    <t>Facturas (COPEC-AGASNAR)
Reporte de transporte troncal
Plataformas de consumo (TCT, surtidor interno)</t>
  </si>
  <si>
    <t>Fuentes Fijas</t>
  </si>
  <si>
    <t>Fuentes que queman sólidos, líquidos o combustible gaseoso, generalmente para producir electricidad, generación de vapor o calor para fines de procesamiento de productos.</t>
  </si>
  <si>
    <t>Felipe Villalobos</t>
  </si>
  <si>
    <t>Rodrigo Martinez</t>
  </si>
  <si>
    <t xml:space="preserve">Facturas </t>
  </si>
  <si>
    <t xml:space="preserve"> Emisiones Fugitivas</t>
  </si>
  <si>
    <t>Las emisiones fugitivas de refrigeración y aire acondicionado resultan de fugas y cargas de servicio durante la vida útil del equipo y su eliminación.</t>
  </si>
  <si>
    <t>DEFRA</t>
  </si>
  <si>
    <t>kg CO2e/kg</t>
  </si>
  <si>
    <t>Emisiones indirectas de la generación de energía comprada.</t>
  </si>
  <si>
    <t>Ministerio de energía</t>
  </si>
  <si>
    <t>kg CO2eq/kWh</t>
  </si>
  <si>
    <t>Gustavo Guerrero / Ivana Alvear</t>
  </si>
  <si>
    <t>Paulina Sanchez /  Sebastián Blamey</t>
  </si>
  <si>
    <t>Facturas Distribuidoras (CGE-CHILQUINTA-FRONTEL-SAESA-LUZ OSORNO-EDELAYSEN-EDELMAG-ENEL-EEPA-AES)
Metodología de estimacion de acuerdo a criterios utilizados
Certificado ERNC</t>
  </si>
  <si>
    <t>Cat.1 Distribución</t>
  </si>
  <si>
    <t>Emisiones de la producción de productos comprados o adquiridos por la empresa informante en el año de informe.</t>
  </si>
  <si>
    <t>Datos medidos con instrumentos
Drivin
SIGO
GPS
Planilla</t>
  </si>
  <si>
    <t>Cat.1 Transporte Troncal - solo externo</t>
  </si>
  <si>
    <t>Reporte de transporte troncal</t>
  </si>
  <si>
    <t>Cat.1 Transporte Aéreo</t>
  </si>
  <si>
    <t>DEFRA 2021</t>
  </si>
  <si>
    <t>kg CO2eq/tkm</t>
  </si>
  <si>
    <t>Facturas (LATAM-SKY)
Calculo Vuela Neutral Latam</t>
  </si>
  <si>
    <t>Cat.1 Bienes y servicios - Compra de servicios</t>
  </si>
  <si>
    <t>exiobase</t>
  </si>
  <si>
    <t>kg CO2e/USD</t>
  </si>
  <si>
    <t>Oswaldo Caldera</t>
  </si>
  <si>
    <t>Germán Yañez</t>
  </si>
  <si>
    <t>Factura según proveedor de servicio</t>
  </si>
  <si>
    <t>Cat.1 Bienes y servicios - Insumos Operacionales</t>
  </si>
  <si>
    <t>ecoinvent v3.6</t>
  </si>
  <si>
    <t>Cristián Vergaray</t>
  </si>
  <si>
    <t>Paulina Sanchez</t>
  </si>
  <si>
    <t>Factura (pendiente proveedores)
Base recepción de insumos)</t>
  </si>
  <si>
    <t>Cat.1 Bienes y servicios - Compra de empaques</t>
  </si>
  <si>
    <t>Factura (pendiente proveedores)
Certificado material reciclado
Base recepción de empaques</t>
  </si>
  <si>
    <t>Cat.2 Compra de bienes de capital</t>
  </si>
  <si>
    <t>Emisiones de la producción de bienes de capital comprados o adquiridos por la empresa informante en el año de informe.</t>
  </si>
  <si>
    <t>Manuel Reyes</t>
  </si>
  <si>
    <t>Vanessa Luna</t>
  </si>
  <si>
    <t>Factura según proveedor de activo adquirido</t>
  </si>
  <si>
    <t>Cat.3 Otras emisiones de energía</t>
  </si>
  <si>
    <t>Emisiones relacionadas con la producción de combustibles y energía comprado y consumido que no están incluidos en el alcance 2</t>
  </si>
  <si>
    <t>MMA</t>
  </si>
  <si>
    <t>Cat.3 Otras emisiones de combustible</t>
  </si>
  <si>
    <t>Datos medidos con instrumentos
Reporte de transporte troncal
Plataformas de consumo (TCT, surtidor interno)</t>
  </si>
  <si>
    <t xml:space="preserve">Cat 4: Transporte aguas arriba </t>
  </si>
  <si>
    <t>Emisiones del transporte y distribución de los productos adquiridos</t>
  </si>
  <si>
    <t>Menos del 1% de contribución, por lo tanto, por falta de mejor información, esta categoría quedó fuera excluida. Corresponde al transporte proveedores de insumos hacia nosotros.</t>
  </si>
  <si>
    <t>excluida</t>
  </si>
  <si>
    <t>No aplica</t>
  </si>
  <si>
    <t>N/A</t>
  </si>
  <si>
    <t>Emisiones de la eliminación y el tratamiento de residuos por parte de terceros generados en las operaciones propias o controladas por la empresa que informa</t>
  </si>
  <si>
    <t>Ecoinvent v3.6</t>
  </si>
  <si>
    <t>kg CO2/kg</t>
  </si>
  <si>
    <t xml:space="preserve">Claudia Escarate </t>
  </si>
  <si>
    <t>Constanza Bazan</t>
  </si>
  <si>
    <t>Estado de Pago Volta
Certificado de disposición final
Boleta con peso de valorización
Metodología de estimación</t>
  </si>
  <si>
    <t>Emisiones del transporte de empleados para actividades relacionadas con el negocio</t>
  </si>
  <si>
    <t>kg CO2eq/USD</t>
  </si>
  <si>
    <t>Eduardo Estay</t>
  </si>
  <si>
    <t>Factura (LATAM-SKY-HOSPEDAJE)</t>
  </si>
  <si>
    <t>Emisiones del transporte de los empleados entre sus hogares y sus lugares de trabajo.</t>
  </si>
  <si>
    <t>kg CO2e/personkm</t>
  </si>
  <si>
    <t>Danilo Muñoz / Carlos Escarate</t>
  </si>
  <si>
    <t>Donna Barrera / Solange Mc Guire</t>
  </si>
  <si>
    <t>Encuesta de hábitos de transpore
Documento Metodología de extrapolación</t>
  </si>
  <si>
    <t>Cat 8: Bienes arrendados aguas arriba</t>
  </si>
  <si>
    <t>Emisiones provenientes de la operación de activos que son arrendados por la empresa informante</t>
  </si>
  <si>
    <t>Los consumos por la operación de bienes arrendados fueron consolidados en el alcance 2 (consumo electrico). No se incluye los bienes arrendados como tal, porque no es una categoría obligatoria dentro del protocolo y la información disponible tiene alta incertidumbre.</t>
  </si>
  <si>
    <t>Cat 9: Transporte aguas abajo</t>
  </si>
  <si>
    <t>Emisiones del transporte y distribución de productos vendidos en vehículos e instalaciones que no son propiedad ni están bajo el control de la empresa informante.</t>
  </si>
  <si>
    <t>Transporte hacia clientes esta categoría no aplica, ya que corresponde al transporte hacia el consumidor cuando no lo paga la empresa, y en nuestro caso está incluido en alcance 1 y 3.</t>
  </si>
  <si>
    <t>Cat 10: Procesamiento productos vendidos:</t>
  </si>
  <si>
    <t>Emisiones del procesamiento de productos vendidospor terceros</t>
  </si>
  <si>
    <t>Los productos que vendemos (embalajes) están considerados en compras de embalajes y fin de vida.</t>
  </si>
  <si>
    <t>Cat 11: Uso de productos vendidos:</t>
  </si>
  <si>
    <t>Emisiones por el uso de bienes y servicios vendidos por el compañía.</t>
  </si>
  <si>
    <t>Cat 12: Fin de vida empaques</t>
  </si>
  <si>
    <t>Emisiones de la eliminación de residuos y el tratamiento de productos vendido por la empresa y su fin de vida</t>
  </si>
  <si>
    <t>Cat 13: Activos arrendados aguas abajo</t>
  </si>
  <si>
    <t>Emisiones provenientes de la operación de los activos que son propiedad de la empresa informante</t>
  </si>
  <si>
    <t>No se incluyó en la medición de huella porque no es una categoría obligatoria dentro del protocolo y la información disponible tiene alta incertidumbre.</t>
  </si>
  <si>
    <t>Emisiones de la operación de franquicias no incluidas en el alcance 1 o alcance 2</t>
  </si>
  <si>
    <t>Dada la naturaleza operacional de las franquicias en Chilexpress y el control sobre ellas, el impacto de dichas unidades se encuentra contabilizados en el alcance 2 y 3. Esto pues dado que el inmueble es de chilexpress, se considera como parte del control operacional.</t>
  </si>
  <si>
    <t>Cat 15: Inversiones:</t>
  </si>
  <si>
    <t>Emisiones asociadas con la empresa que reporta inversiones</t>
  </si>
  <si>
    <t>Corresponde a inversiones en el mercado bursátil.</t>
  </si>
  <si>
    <t>Criticidad de Categorías</t>
  </si>
  <si>
    <t>N° Cat</t>
  </si>
  <si>
    <t>Categorias de Negocio Huella de Carbono 2022</t>
  </si>
  <si>
    <t>Area que gestiona de la categoria</t>
  </si>
  <si>
    <t>Area que validación de la información</t>
  </si>
  <si>
    <t xml:space="preserve">Presentación del área </t>
  </si>
  <si>
    <t>ALTA</t>
  </si>
  <si>
    <t>Demanda</t>
  </si>
  <si>
    <t>Mejora Continua</t>
  </si>
  <si>
    <t>Sost. Operacional</t>
  </si>
  <si>
    <t>Transporte Aéreo</t>
  </si>
  <si>
    <t>Transporte</t>
  </si>
  <si>
    <t>Ing. Operacional</t>
  </si>
  <si>
    <t>Distribución (UM, PM, TL) (Propio y Externo)</t>
  </si>
  <si>
    <t>Distribución</t>
  </si>
  <si>
    <t>Transporte Troncal 
(Propio y Externo)</t>
  </si>
  <si>
    <t>Residuos</t>
  </si>
  <si>
    <t>Seguridad y Salud Operacional / Sostenibilidad Operacional</t>
  </si>
  <si>
    <t>Resultados Huella CO2 Residuos</t>
  </si>
  <si>
    <t>MEDIA</t>
  </si>
  <si>
    <t>Compra de bienes y servicios</t>
  </si>
  <si>
    <t>Finanzas</t>
  </si>
  <si>
    <t>Traslado de colaboradores</t>
  </si>
  <si>
    <t>Personas</t>
  </si>
  <si>
    <t>Insumos Operacionales
Compra de empaques y fin de vida de productos vendidos</t>
  </si>
  <si>
    <t>Compras Tácticas</t>
  </si>
  <si>
    <t>Administración / Mejora Continua</t>
  </si>
  <si>
    <t>Energía Electrica</t>
  </si>
  <si>
    <t>Inmobiliaria</t>
  </si>
  <si>
    <t>Administración/ Mejora Continua</t>
  </si>
  <si>
    <t>https://docs.google.com/presentation/d/1cp8dckgiY_StKqz7z6E9pG6-RV9b4GgTvjg2w5SmnoY/edit#slide=id.g181f8695f58_0_578</t>
  </si>
  <si>
    <t>BAJA</t>
  </si>
  <si>
    <t>Operaciones</t>
  </si>
  <si>
    <t>Emisiones Fugitivas</t>
  </si>
  <si>
    <t>Por categoría de negocio</t>
  </si>
  <si>
    <t>TONELADAS CO2</t>
  </si>
  <si>
    <t>ACCIONES REALIZADAS 2022</t>
  </si>
  <si>
    <t>Dif %</t>
  </si>
  <si>
    <t>Acción</t>
  </si>
  <si>
    <t>Descripción</t>
  </si>
  <si>
    <t>Impacto</t>
  </si>
  <si>
    <t>Impacto %</t>
  </si>
  <si>
    <t>Transporte distribución</t>
  </si>
  <si>
    <t>Optimización de Red</t>
  </si>
  <si>
    <t>Optimizaciones de flota de vehículos primera y última milla según las variaciones de demanda. Reducción del 27% de kilómetros recorridos.</t>
  </si>
  <si>
    <t>-2.700 tCO2e</t>
  </si>
  <si>
    <t>Electromovilidad</t>
  </si>
  <si>
    <t>Incorporación de 94 vehículos eléctricos en flota primera y última milla RM. Incorporación gradual de 30 (septiembre) a 94 vehículos eléctricos (diciembre) .</t>
  </si>
  <si>
    <t>-100 tCO2e</t>
  </si>
  <si>
    <t>Transporte troncal</t>
  </si>
  <si>
    <t>Optimización de malla troncal</t>
  </si>
  <si>
    <t>Optimización de rutas actuales adaptadas a demanda requerida y servicio. Reducción del 28% de kilómetros recorridos.</t>
  </si>
  <si>
    <t>-1.300 tCO2e</t>
  </si>
  <si>
    <t>Compra de servicios</t>
  </si>
  <si>
    <t>Traslado de trabajadores</t>
  </si>
  <si>
    <t>Energía Eléctrica</t>
  </si>
  <si>
    <t>Uso de ERNC</t>
  </si>
  <si>
    <t>Utilización de ERNC para el CD ENEA I y IV, contrato cliente libre con AES Andes.
Aumento de consumo ERNC respecto del total +1% lo que presenta a 1,42 GWh.
29% de uso de ERNC sobre el total de energía consumida</t>
  </si>
  <si>
    <t>-425 tCO2e</t>
  </si>
  <si>
    <t>Implementación Luces LED</t>
  </si>
  <si>
    <t>Menor consumo energético por avance en plan de implementación de luces LED. Disminución del 11% (580.438 kWh) del consumo eléctrico en las instalaciones operacionales (CD,CR,CO,OC,FR).
Disminución de hasta un 20% de consumo en luminarias por unidad. 
Hasta el momento, 21 CDs han sido mejorados.
Avance de plan de un 18% a un 77%.</t>
  </si>
  <si>
    <t>-200 tCO2e</t>
  </si>
  <si>
    <t>Insumos operacionales y embalajes</t>
  </si>
  <si>
    <t>Negociación de tarifas y menor compras de insumos y materiales</t>
  </si>
  <si>
    <t>Disminución de compras realizadas de insumos y embalajes. -46% de toneladas de material</t>
  </si>
  <si>
    <t>-1.941 tCO2e</t>
  </si>
  <si>
    <t>Embalajes bajos en emisiones</t>
  </si>
  <si>
    <t>Certificación de cajas de embalaje con un 99,76% de materiales de origen reciclado.
-150 tCO2e evitadas
98% de nuestro embalaje es fabricado con 100% fibras recicladas.</t>
  </si>
  <si>
    <t>-150 tCO2e</t>
  </si>
  <si>
    <t>Mejora en gestión de Puntos Limpios y Mini Puntos Limpios</t>
  </si>
  <si>
    <t>Mejora en la gestión de 19 puntos limpios y mini puntos limpios para la gestión de reciclaje de residuos reciclables operacionales y domiciliarios en 23 unidades operacionales a nivel nacional (CD/CR/CO/CORP).</t>
  </si>
  <si>
    <t>-60 tCO2e
+9% Tasa de Valorización de 46% a 55%.</t>
  </si>
  <si>
    <t>Optimización Film y Bolsas contenedoras</t>
  </si>
  <si>
    <t>Reducción y control del consumo de Film (Enea) y Bolsas Contenedoras (OC nivel nacional)</t>
  </si>
  <si>
    <t>Otras categorías</t>
  </si>
  <si>
    <t>VISTA 1</t>
  </si>
  <si>
    <t>Por año</t>
  </si>
  <si>
    <t>DISTRIBUCIÓN %</t>
  </si>
  <si>
    <t>KGCO2/pieza</t>
  </si>
  <si>
    <t>DIF</t>
  </si>
  <si>
    <t>% DIF</t>
  </si>
  <si>
    <t>EXPLICACION</t>
  </si>
  <si>
    <t>Total de documentos, encomiendas y valijas</t>
  </si>
  <si>
    <t>VISTA 2</t>
  </si>
  <si>
    <t>Por categoria de negocio macro-agrupada</t>
  </si>
  <si>
    <t>Compra de servicios, insumos y energia electrica</t>
  </si>
  <si>
    <t>Otras categorias</t>
  </si>
  <si>
    <t>VISTA 3 (input)</t>
  </si>
  <si>
    <t>GRAFICOS</t>
  </si>
  <si>
    <t>Por categoria de negocio agrupada</t>
  </si>
  <si>
    <t>Categorías según impacto en toneladas</t>
  </si>
  <si>
    <t>kgCO27pieza 2022</t>
  </si>
  <si>
    <t>kgCO27pieza 2021</t>
  </si>
  <si>
    <t>tCO2 2022</t>
  </si>
  <si>
    <t>tCO2 2021</t>
  </si>
  <si>
    <t>x ACCION</t>
  </si>
  <si>
    <t>x METOD</t>
  </si>
  <si>
    <t>x F.EXT.</t>
  </si>
  <si>
    <t>1) Optimizacion de capacidad de flota por menor demanda, sin embargo no es proporcional a la baja de demanda (-42%) por concentración de piezas (-27%) 
2) Mejora metodologica en incorporación de motos y limpieza de datos (-3%)
3) Incorporacion operacion de vehiculos elecltricos (-100 ton, -1%)</t>
  </si>
  <si>
    <t>1) Aumento de km/pieza por concentración de piezas en +26% 
2) Mejora en rendimiento al incorporar motos, bicicletas y peatones en la caracterización de flota (-7%).</t>
  </si>
  <si>
    <t>1) Disminución tkm no proporcional a la baja de demanda (-24%)
2) Mejora en el factor de emisión Latam (-10%)  (-984 tonCO2)</t>
  </si>
  <si>
    <t>Se mantiene base por concentración de entregas y menor emisión por cambio en metodología</t>
  </si>
  <si>
    <t>1) -50% por menor demanda (no proporcional a la baja -42%), modificación/optimización malla troncal y cambio de metodologia de medición  (no es posible determinar los impactos de forma independiente)  
2) -11% mayor precisión en el dato de rendimiento.</t>
  </si>
  <si>
    <t>Aumento 15% km/pieza pero compensa con mejor rendimiento y por cambio metodologia</t>
  </si>
  <si>
    <t>1) Disminución del gasto en mayor proporción que el gasto en pesos por aumento del tipo de cambio(-13%) 
2) Menores gastos realizados en pesos (-8%)
3) Reubicación de gastos incluidos en otras categorias (-16%) (ej. transporte y arreglos)</t>
  </si>
  <si>
    <t>-</t>
  </si>
  <si>
    <t>Reducción de emisiones totales (-37%) no proporcional a la baja de demanda (-42%)</t>
  </si>
  <si>
    <t>1) Menor base de colaboradores (-20%)
2) Menor distancia recorrida por dia (declarada) por colaborador (-7%)</t>
  </si>
  <si>
    <t>Reducción de emisiones totales (-27%) no proporcinal a la baja de demanda (-42%)</t>
  </si>
  <si>
    <t>1) Mejora de factor de emisión de matriz energetica nacional de un -23% (-18%)
2) Menor consumo electrico por instalaciones LED y menor cantidad de unidades (-11%) 
3) Aumento de consumo ERNC respceto del total (+1%)</t>
  </si>
  <si>
    <t>Reduccion de emisiones totales (-29%) no es proporcional a la baja de demanda (-42%) por consumo fijo en instalaciones. 
Intensidad energetica por pieza aumenta +54%, sin embargo la mejora del factor de emisión contribuye a reducir -32%</t>
  </si>
  <si>
    <t>1) Menor consumo de toneladas de material y optimización de compras de insumos y empaques (-46%)
2) Menor factor de emisión segun proporcion de uso de materiales por corrección (-18%)</t>
  </si>
  <si>
    <t>1) Menor consumo de material por pieza (-7%)
2) Menor factor de emision ponderado (-30%)</t>
  </si>
  <si>
    <t>1) Menor compra/uso de materiales por menor demanda, mejora en tasa de valorización (recupero de residuos regiones y gestión de punto limpio Enea)  (-34%)
2) Menor cantidad de colaboradores (-12%)
3) Aumento del factor de emisión ponderado por incorporación de tratamiento de residuos peligrosos (+2%)</t>
  </si>
  <si>
    <t>Disminucion absoluta de emisiones (-41,6%) no proporcional a disminución de demanda (-42%)</t>
  </si>
  <si>
    <t xml:space="preserve">VISTA 4 </t>
  </si>
  <si>
    <t>Por categoria de negocio desagrupada</t>
  </si>
  <si>
    <t>Transporte Distribución</t>
  </si>
  <si>
    <t>Otras emisiones energia electrica</t>
  </si>
  <si>
    <t>Insumos operacionales</t>
  </si>
  <si>
    <t>Fin de vida empaques</t>
  </si>
  <si>
    <t xml:space="preserve">Residuos </t>
  </si>
  <si>
    <t>Bienes de capital</t>
  </si>
  <si>
    <t>No hay inversiones importantes en vehiculos o maquinarias, se incluye la compra de activos tangibles en esta categoría</t>
  </si>
  <si>
    <t>Se declara una mayor cantidad de carga de gases refrigerantes, considera mantención de equipos nuevos adquiridos en durante 2021</t>
  </si>
  <si>
    <t>Disminuye el monto considerado en viajes de negocio el año 2022, modificación en la metodología de cálculo, En linea con la disminución de la actividad</t>
  </si>
  <si>
    <t>Combustión fuentes fijas (calderas, generadores, etc)</t>
  </si>
  <si>
    <t>VISTA 5</t>
  </si>
  <si>
    <t>Por alcance GHG Protocol</t>
  </si>
  <si>
    <t>VISTA 6</t>
  </si>
  <si>
    <t>Por categoria de emisión GHG Protocol</t>
  </si>
  <si>
    <t>A1: Fuentes móviles (Transporte propio troncal y local)</t>
  </si>
  <si>
    <t>A1: Fuentes Fijas</t>
  </si>
  <si>
    <t>A1: Emisiones Fugitivas</t>
  </si>
  <si>
    <t>A2: Compra de electricidad</t>
  </si>
  <si>
    <t>A3 Cat.1 Distribución - Solo externo</t>
  </si>
  <si>
    <t>A3 Cat.1 Transporte Troncal - solo externo</t>
  </si>
  <si>
    <t>A3 Cat.1 Transporte Aéreo</t>
  </si>
  <si>
    <t>A3 Cat.1 Bienes y servicios - Compra de servicios</t>
  </si>
  <si>
    <t>A3 Cat.1 Bienes y servicios - Insumos Operacionales</t>
  </si>
  <si>
    <t>A3 Cat.1 Bienes y servicios - Compra de empaques</t>
  </si>
  <si>
    <t>A3 Cat.2 Compra de bienes de capital</t>
  </si>
  <si>
    <t>A3 Cat.3 Otras emisiones de energía</t>
  </si>
  <si>
    <t>A3 Cat.3 Otras emisiones de combustible</t>
  </si>
  <si>
    <t>A3 Cat 5: Residuos generados en las operaciones</t>
  </si>
  <si>
    <t>A3 Cat 6: Viajes de negocio</t>
  </si>
  <si>
    <t>A3 Cat 7: Traslado de trabajadores</t>
  </si>
  <si>
    <t>A3 Cat 12: Fin de vida empaques</t>
  </si>
  <si>
    <t>VISTA 7</t>
  </si>
  <si>
    <t>Por indicador operacional</t>
  </si>
  <si>
    <t>INDICADOR OPERACIONAL 1</t>
  </si>
  <si>
    <t>INDICADOR OPERACIONAL 2</t>
  </si>
  <si>
    <t>INDICADOR OPERACIONAL 3</t>
  </si>
  <si>
    <t>INDICADOR OPERACIONAL 4</t>
  </si>
  <si>
    <t>INDICADOR</t>
  </si>
  <si>
    <t xml:space="preserve">Transporte Distribución </t>
  </si>
  <si>
    <t>Kms recorridos</t>
  </si>
  <si>
    <t>km/pieza</t>
  </si>
  <si>
    <t>kgcCO2/pieza evitado (VE)</t>
  </si>
  <si>
    <t>Kms VEs</t>
  </si>
  <si>
    <t>tkm</t>
  </si>
  <si>
    <t>tkm/pieza</t>
  </si>
  <si>
    <t>% tkm Latam</t>
  </si>
  <si>
    <t>KgCO2/tkm</t>
  </si>
  <si>
    <t>kms recorridos</t>
  </si>
  <si>
    <t>Gasto en pesos</t>
  </si>
  <si>
    <t>Tipo de cambio</t>
  </si>
  <si>
    <t>Gasto en dolares</t>
  </si>
  <si>
    <t>-%</t>
  </si>
  <si>
    <t>Presencialidad</t>
  </si>
  <si>
    <t>Km/dia/colab</t>
  </si>
  <si>
    <t>Uso de auto</t>
  </si>
  <si>
    <t>kgCO2/dia por colaborador</t>
  </si>
  <si>
    <t>Energia Electrica</t>
  </si>
  <si>
    <t>Consumo kwh</t>
  </si>
  <si>
    <t>Intensidad energetica por pieza</t>
  </si>
  <si>
    <t>% ERNC</t>
  </si>
  <si>
    <t>Consumo/unidad</t>
  </si>
  <si>
    <t>Kg insumos/pieza</t>
  </si>
  <si>
    <t>Kg empaques/pieza</t>
  </si>
  <si>
    <t>Res.generados/pieza</t>
  </si>
  <si>
    <t>Res.env.relleno/pieza</t>
  </si>
  <si>
    <t>Tasa de valorización</t>
  </si>
  <si>
    <t>Demanda CXP 2022</t>
  </si>
  <si>
    <t>Enero</t>
  </si>
  <si>
    <t>Febrero</t>
  </si>
  <si>
    <t>Marzo</t>
  </si>
  <si>
    <t>Abril</t>
  </si>
  <si>
    <t>Mayo</t>
  </si>
  <si>
    <t>Junio</t>
  </si>
  <si>
    <t>Julio</t>
  </si>
  <si>
    <t>Agosto</t>
  </si>
  <si>
    <t>Septiembre</t>
  </si>
  <si>
    <t>Octubre</t>
  </si>
  <si>
    <t>Noviembre</t>
  </si>
  <si>
    <t>Diciembre</t>
  </si>
  <si>
    <t>Encomiendas y valijas</t>
  </si>
  <si>
    <t>Documentos</t>
  </si>
  <si>
    <t>Demanda CXP 2021</t>
  </si>
  <si>
    <t>TRANSPORTE TERRESTRE DE TERCEROS - DISTRIBUCIÓN</t>
  </si>
  <si>
    <t>Por favor llene la siguiente información sobre la cantidad y tipo de combustibles consumidos para todos los vehículos de terceros durante el año calendario 2022. Indique además información de tipo de servicio, marca - modelo, rendimiento y km recorridos. Si no cuenta con la información de combustible consumido, dejar en blanco.</t>
  </si>
  <si>
    <t>GHG Protocolo</t>
  </si>
  <si>
    <t>Propiedad</t>
  </si>
  <si>
    <t>Directas</t>
  </si>
  <si>
    <t>Indirectas</t>
  </si>
  <si>
    <t>PROPIO</t>
  </si>
  <si>
    <t>TIPO DE RESPALDOS:</t>
  </si>
  <si>
    <t>Facturas, registros internos de compra, respaldos de SAP, documentación con  supuestos y estimaciones si aplica.</t>
  </si>
  <si>
    <t>EXTERNO</t>
  </si>
  <si>
    <t>Directo</t>
  </si>
  <si>
    <t>Indirecto</t>
  </si>
  <si>
    <t>Tipo de vehículo</t>
  </si>
  <si>
    <t>Rendimiento (km/l)</t>
  </si>
  <si>
    <t>Km recorridos</t>
  </si>
  <si>
    <t>Tipo de combustible</t>
  </si>
  <si>
    <t>Fecha</t>
  </si>
  <si>
    <t>Cantidad combustible consumido (mes)</t>
  </si>
  <si>
    <t>ton CO2-e</t>
  </si>
  <si>
    <t>Furgones propios</t>
  </si>
  <si>
    <t>Diesel vehículos todo terreno</t>
  </si>
  <si>
    <t>Lt</t>
  </si>
  <si>
    <t>Furgones externos</t>
  </si>
  <si>
    <t>Motos</t>
  </si>
  <si>
    <t>Gasolina</t>
  </si>
  <si>
    <t>BNE</t>
  </si>
  <si>
    <t>Vehiculo Electrico</t>
  </si>
  <si>
    <t>kWh</t>
  </si>
  <si>
    <t>Vehiculo Hibrido (Gas Natural)</t>
  </si>
  <si>
    <t>Gas natural</t>
  </si>
  <si>
    <t>m3</t>
  </si>
  <si>
    <t>Vehiculo Hibrido (Gasolina)</t>
  </si>
  <si>
    <t>Ya incluido</t>
  </si>
  <si>
    <t>EE</t>
  </si>
  <si>
    <t>Diesel</t>
  </si>
  <si>
    <t>Rendimiento 7,51 km/m3</t>
  </si>
  <si>
    <t>FURGON</t>
  </si>
  <si>
    <t>Factor de Emisión según combustible</t>
  </si>
  <si>
    <t>Totales</t>
  </si>
  <si>
    <t>Unidad de medida</t>
  </si>
  <si>
    <t>kgCO2/l</t>
  </si>
  <si>
    <t>Energía Electrica (SEN)</t>
  </si>
  <si>
    <t>kgCO2/kWh</t>
  </si>
  <si>
    <t>SEN: Sistema Eléctrico Nacional</t>
  </si>
  <si>
    <t>Energia Electrica (ERNC)</t>
  </si>
  <si>
    <t>Energia Electrica Punta Arenas (SEM)</t>
  </si>
  <si>
    <t>SEM: Sistema Eléctrico Magallanes</t>
  </si>
  <si>
    <t>Energia Electrica Aysén (SEA)</t>
  </si>
  <si>
    <t>SEA: Sistema Eléctrico Aysen</t>
  </si>
  <si>
    <t>Resumen</t>
  </si>
  <si>
    <t>Diferencia</t>
  </si>
  <si>
    <t>Explicacion</t>
  </si>
  <si>
    <t>kilometros recorridos</t>
  </si>
  <si>
    <t>Se disminuyen los kilometros recorridos por la red por menor demanda, sin embargo no es proporcional por concentración de piezas.</t>
  </si>
  <si>
    <t>Aumento de km/pieza por base de coberturas para entregas (concentración de piezas)</t>
  </si>
  <si>
    <t>factor de ajuste</t>
  </si>
  <si>
    <t>disminución de factor</t>
  </si>
  <si>
    <t>Entregas por planilla</t>
  </si>
  <si>
    <t>disminución de entregas por planilla</t>
  </si>
  <si>
    <t>Rendimiento promedio</t>
  </si>
  <si>
    <t>Rendimiento furgon</t>
  </si>
  <si>
    <t>se mantiene</t>
  </si>
  <si>
    <t>Rendimiento motos</t>
  </si>
  <si>
    <t>No hay en 2021</t>
  </si>
  <si>
    <t>se incorporan motos</t>
  </si>
  <si>
    <t>kms VE (descontados)</t>
  </si>
  <si>
    <t>Inicio operacion electrica septiembre 2022</t>
  </si>
  <si>
    <t>Piezas entregadas VE 2022</t>
  </si>
  <si>
    <t>tCO2 evitado VE</t>
  </si>
  <si>
    <t>inicio operacion electrica septiembre 2022</t>
  </si>
  <si>
    <t>kgCO2/pieza evitado VE</t>
  </si>
  <si>
    <t>tCO2</t>
  </si>
  <si>
    <t xml:space="preserve">1) Optimizacion de capacidad de flota por menor demanda, sin embargo no es proporcional a la baja de demanda (-42%) por concentración de piezas --&gt; (2.700 t, -27%)                                                             
2) Mejora metodologica en incorporación de motos y limpieza de datos (-3%)                                                            
3) Incorporacion operacion de vehiculos elecltricos (-100 ton, -1%)                                                                </t>
  </si>
  <si>
    <t>TRANSPORTE AÉREO</t>
  </si>
  <si>
    <t xml:space="preserve">Por favor llene la siguiente información sobre el peso transportado y  km recorridos o bien indique origen y destino, para todo el transporte de carga aéreo realizado durante el año calendario 2021.  </t>
  </si>
  <si>
    <t>Facturas, respaldos de SAP u otros.</t>
  </si>
  <si>
    <t>Resumen aéreo</t>
  </si>
  <si>
    <t>Justificación</t>
  </si>
  <si>
    <t>TOTALES</t>
  </si>
  <si>
    <t>ton*km total</t>
  </si>
  <si>
    <t>Disminución de tkm (-24%) por menor cantidad de piezas aereas (-22%) y menor cantidad de vuelos (-2%). Disminución no proporcional a la baja demanda de piezas totales (-42%).</t>
  </si>
  <si>
    <t>tkm Latam</t>
  </si>
  <si>
    <t>tkm Sky</t>
  </si>
  <si>
    <t>-5% tkm Latam en 2022</t>
  </si>
  <si>
    <t>% tkm Sky</t>
  </si>
  <si>
    <t>km recorrido</t>
  </si>
  <si>
    <t>Se mantienen los vuelos realizados</t>
  </si>
  <si>
    <t>km recorrido Latam</t>
  </si>
  <si>
    <t>km recorrido Sky</t>
  </si>
  <si>
    <t>% km recorrido Latam</t>
  </si>
  <si>
    <t>% km recorrido Sky</t>
  </si>
  <si>
    <t>toneladas transportadas</t>
  </si>
  <si>
    <t>-22% Disminución por cantidad de piezas enviadas (o peso de las piezas TBC)</t>
  </si>
  <si>
    <t>ton transportadas Latam</t>
  </si>
  <si>
    <t>ton transportadas Sky</t>
  </si>
  <si>
    <t>% ton transportadas Latam</t>
  </si>
  <si>
    <t>% ton transportadas Sky</t>
  </si>
  <si>
    <t>POR PIEZA DDA TOTAL</t>
  </si>
  <si>
    <t>ton*km total/ pieza (dda total)</t>
  </si>
  <si>
    <t>tkm Latam / Pieza</t>
  </si>
  <si>
    <t>tkm Sky / pieza</t>
  </si>
  <si>
    <t>km recorrido / pieza</t>
  </si>
  <si>
    <t>toneladas transportadas /pieza</t>
  </si>
  <si>
    <t>POR PIEZA AEREA</t>
  </si>
  <si>
    <t>ton*km total/ pieza</t>
  </si>
  <si>
    <t>Emisiones CO2</t>
  </si>
  <si>
    <t>Emisiones totales CO2</t>
  </si>
  <si>
    <t>1) Disminución tkm por menor cantidad aereas (-24%)
2) Mejora en el factor de emisión Latam (-10%)  (-984 tonCO2)</t>
  </si>
  <si>
    <t>Emisiones totales Latam</t>
  </si>
  <si>
    <t>Emisiones totales Sky</t>
  </si>
  <si>
    <t>% Emisiones totales Latam</t>
  </si>
  <si>
    <t>% Emisiones totales Sky</t>
  </si>
  <si>
    <t xml:space="preserve">kgCO2/tkm </t>
  </si>
  <si>
    <t>-13% factor de emision ponderado, por -38% factor de emision de latam</t>
  </si>
  <si>
    <t>kgCO2 Latam/tkm Latam</t>
  </si>
  <si>
    <t>-38% Factor emision de latam</t>
  </si>
  <si>
    <t>kgCO2 Sky /tkm Sky</t>
  </si>
  <si>
    <t>kgCO2/pieza (dda total)</t>
  </si>
  <si>
    <t>Piezas aéreas y contenedores</t>
  </si>
  <si>
    <t>Factores de Emision 2022</t>
  </si>
  <si>
    <t>kgCO2/tkm</t>
  </si>
  <si>
    <t>Latam</t>
  </si>
  <si>
    <t>n/a</t>
  </si>
  <si>
    <t>Sky</t>
  </si>
  <si>
    <t>Demanda Total</t>
  </si>
  <si>
    <t>2022 sin cambio metodologia</t>
  </si>
  <si>
    <t>emisiones totales</t>
  </si>
  <si>
    <t>Piezas Aereas</t>
  </si>
  <si>
    <t>Considerar emisiones indirectas del transporte aerea</t>
  </si>
  <si>
    <t>tonkm 2022</t>
  </si>
  <si>
    <t>factor de emision indirecto</t>
  </si>
  <si>
    <t>total emisiones indirectas</t>
  </si>
  <si>
    <t>ton CO2</t>
  </si>
  <si>
    <t>Q Enc Aereo: 1.058.034</t>
  </si>
  <si>
    <t>TRANSPORTE TRONCAL</t>
  </si>
  <si>
    <t xml:space="preserve">Transporte TRONCAL 2022 </t>
  </si>
  <si>
    <t>Tipo de movimiento</t>
  </si>
  <si>
    <t>Troncal propio</t>
  </si>
  <si>
    <t>Troncal Externo</t>
  </si>
  <si>
    <t>Emisiones transporte troncal</t>
  </si>
  <si>
    <t>Transporte TRONCAL 2021</t>
  </si>
  <si>
    <t>CAMIONES</t>
  </si>
  <si>
    <t>CAMION 3/4</t>
  </si>
  <si>
    <t>TRACTO</t>
  </si>
  <si>
    <t>RAMPA</t>
  </si>
  <si>
    <t>CAMIONETAS</t>
  </si>
  <si>
    <t>Diesel vehículos livianos</t>
  </si>
  <si>
    <t>OTROS</t>
  </si>
  <si>
    <t>*Agregar filas en caso de ser necesario</t>
  </si>
  <si>
    <t>-50% por menor demanda (no proporcional a la baja -42%), modificación/optimización malla troncal y cambio de metodologia de medición  (no es posible determinar los impactos de forma independiente)</t>
  </si>
  <si>
    <t>-15% por menor demanda no proporcional a la baja de demanda -42% (se mantiene base estructural) y cambio de metodologia (no es posible determinar los impactos de forma independiente).</t>
  </si>
  <si>
    <t>Rendimiento promedio km/lt</t>
  </si>
  <si>
    <t>Mayor precisión en el dato de rendimiento por mejora en información de entrada.</t>
  </si>
  <si>
    <t>-50% por menor demanda (no proporcional a la baja -42%), modificación/optimización malla troncal y cambio de metodologia de medición  (no es posible determinar los impactos de forma independiente) y -11% mayor precisión en el dato de rendimiento.</t>
  </si>
  <si>
    <t>-15% por menor demanda no proporcional a la baja de demanda -42% (se mantiene base estructural) y cambio de metodologia (no es posible determinar los impactos de forma independiente) y -17% por mayor precisión en el dato de rendimiento.</t>
  </si>
  <si>
    <t>2022 con antigua metodologia y menor rendimiento</t>
  </si>
  <si>
    <t>kms</t>
  </si>
  <si>
    <t>Factores de emision</t>
  </si>
  <si>
    <t>tco2</t>
  </si>
  <si>
    <t>Emisiones directas</t>
  </si>
  <si>
    <t>Emisiones indirectas</t>
  </si>
  <si>
    <t>COMPRA DE BIENES Y SERVICIOS</t>
  </si>
  <si>
    <r>
      <rPr>
        <sz val="12"/>
        <color theme="1"/>
        <rFont val="Calibri"/>
        <family val="2"/>
      </rPr>
      <t xml:space="preserve">Por favor indique la compra de otros insumos (no cuantificados en las otras pestañas) </t>
    </r>
    <r>
      <rPr>
        <b/>
        <sz val="12"/>
        <color theme="1"/>
        <rFont val="Calibri"/>
        <family val="2"/>
      </rPr>
      <t>realizadas sólo durante el año calendario 2022</t>
    </r>
    <r>
      <rPr>
        <sz val="12"/>
        <color theme="1"/>
        <rFont val="Calibri"/>
        <family val="2"/>
      </rPr>
      <t xml:space="preserve">. Completar con información de  insumos necesarios para el funcionamiento de la empresa. Algunos tipos pueden incluir:
- Materiales y equipos de oficina: papel, computadores, etc.
- Artículos de higiene: papel higiénico, jabón, etc.
- Bienes de capital: vehículos, instalaciones, etc.
- Servicios: marketing, servicios financieros, página web,etc.
</t>
    </r>
    <r>
      <rPr>
        <b/>
        <u/>
        <sz val="12"/>
        <color theme="1"/>
        <rFont val="Calibri"/>
        <family val="2"/>
      </rPr>
      <t>Es importante que se incluya al menos el 80% de las compras de bienes y servicios</t>
    </r>
    <r>
      <rPr>
        <sz val="12"/>
        <color theme="1"/>
        <rFont val="Calibri"/>
        <family val="2"/>
      </rPr>
      <t>.</t>
    </r>
    <r>
      <rPr>
        <b/>
        <u/>
        <sz val="12"/>
        <color theme="1"/>
        <rFont val="Calibri"/>
        <family val="2"/>
      </rPr>
      <t xml:space="preserve"> No considerar la compra de vehículos de terceros.</t>
    </r>
  </si>
  <si>
    <t>Facturas, registros internos de compras, SAP u otros.</t>
  </si>
  <si>
    <t>Recomendación:</t>
  </si>
  <si>
    <t>Si haciendo un screening económico, algún gasto representa una contribución relevante al total de gastos, evaluar si se puede obtener su compra en unidades</t>
  </si>
  <si>
    <t xml:space="preserve">de masa, de lo contrario, utilizar directamente información en pesos chilenos. </t>
  </si>
  <si>
    <t>Todos los gastos de bienes de capital como vehículos, maquinaria, instalaciones o reparaciones, deben ser reportados en pesos chilenos.</t>
  </si>
  <si>
    <t>2021 - CON NUEVA CATEGORIZACION</t>
  </si>
  <si>
    <t>2021 CON ANTIGUA CATEGORIZACION</t>
  </si>
  <si>
    <t>2022 - CON NUEVA CATEGORIZACION</t>
  </si>
  <si>
    <t>EMISIONES CO2</t>
  </si>
  <si>
    <t>Monto en pesos</t>
  </si>
  <si>
    <t>Tipo de servicio</t>
  </si>
  <si>
    <t>$</t>
  </si>
  <si>
    <t>Contribución</t>
  </si>
  <si>
    <t>Monto</t>
  </si>
  <si>
    <t>Diferencia %</t>
  </si>
  <si>
    <t>Agua</t>
  </si>
  <si>
    <t>Servicio</t>
  </si>
  <si>
    <t>Arriendo de vehículos</t>
  </si>
  <si>
    <t>Articulos de aseo y oficina</t>
  </si>
  <si>
    <t>Capacitaciones y entrenamientos</t>
  </si>
  <si>
    <t>Asesorías financieras</t>
  </si>
  <si>
    <t>Investigación</t>
  </si>
  <si>
    <t>Licencias (Software)</t>
  </si>
  <si>
    <t>Gastos Bancarios</t>
  </si>
  <si>
    <t>Limpieza</t>
  </si>
  <si>
    <t>Mantención vehículos</t>
  </si>
  <si>
    <t>Licencias (Softwares)</t>
  </si>
  <si>
    <t>Marketing</t>
  </si>
  <si>
    <t>Otros servicios</t>
  </si>
  <si>
    <t>Patentes</t>
  </si>
  <si>
    <t>Seguros</t>
  </si>
  <si>
    <t>Servicio de reclutamiento</t>
  </si>
  <si>
    <t>Repuestos</t>
  </si>
  <si>
    <t>Servicios Arreglos / mantención oficinas - arquitectos, maestros</t>
  </si>
  <si>
    <t>Servicios computacionales</t>
  </si>
  <si>
    <t>Servicios varios (mantención de las oficinas, etc.)</t>
  </si>
  <si>
    <t>Suscripciones y membresías</t>
  </si>
  <si>
    <t>Servicios Computacionales</t>
  </si>
  <si>
    <t>Telefonía e internet</t>
  </si>
  <si>
    <t>Vestuario</t>
  </si>
  <si>
    <t>Factor Emisión</t>
  </si>
  <si>
    <t>1) Mejora de precios por negociacion con proveedor de telefonia e internet y proyectos internos de mejora (-6%, -1.000.0000)
2) Menor gasto en servicios y arreglos (-2%, -600.000.000)</t>
  </si>
  <si>
    <t>tipo de cambio</t>
  </si>
  <si>
    <t>Aumento tipo de cambio por condiciones del mercado</t>
  </si>
  <si>
    <t>1) Disminución del gasto en mayor proporción que el gasto en pesos por aumento del tipo de cambio(-13%) 
2) Menores gastos realizados en pesos (-8%)</t>
  </si>
  <si>
    <t>kgCO2/USD ponderado</t>
  </si>
  <si>
    <t>Disminución de factor de emisión ponderado por cambio en servicios consumidos</t>
  </si>
  <si>
    <t>Emisiones C02</t>
  </si>
  <si>
    <t>1) Disminución del gasto en dolares mayor proporción que el gasto en pesos por aumento del tipo de cambio(-13%) 
2) Menores gastos realizados en pesos por mejora de negociacion con proveedor de telefonia e internet y menores gastos en servicios y arreglos (-8%)
3) Reubicación de gastos incluidos en otras categorias (-16%) (ej. transporte y arreglos)</t>
  </si>
  <si>
    <t>Reducción de emisiones absolutas (-37%) no proporcional a la baja de demanda (-42%)</t>
  </si>
  <si>
    <t>N°1:Ss computacionales (tCO2)</t>
  </si>
  <si>
    <t>Mayor solicitudes de soporte a plataformas o servicios.</t>
  </si>
  <si>
    <t>N°2: Licencias (Software)  (tCO2)</t>
  </si>
  <si>
    <t xml:space="preserve">Aumento por servicios y licencias  // Efecto IPC
</t>
  </si>
  <si>
    <t>N°3: Investigación  (tCO2)</t>
  </si>
  <si>
    <t>Aumento en investigaciones, pese a menor cantidad de proyectos (capex) aprobados</t>
  </si>
  <si>
    <t>N°4: Ss. de arreglos y mantención  (tCO2)</t>
  </si>
  <si>
    <t>Mayores inversiones en reparaciones y mejoras de instalaciones. Efecto inflacionario. Mayor uso de equipamiento operacional.</t>
  </si>
  <si>
    <t>N°5: Otros Servicios  (tCO2)</t>
  </si>
  <si>
    <t>Principalmente por mayores costos de seguridad</t>
  </si>
  <si>
    <t>kgCO2/USD</t>
  </si>
  <si>
    <t>% 2021</t>
  </si>
  <si>
    <t>% 2022</t>
  </si>
  <si>
    <t>N°1:Servicios computacionales</t>
  </si>
  <si>
    <t>N°2: Licencias (Software)</t>
  </si>
  <si>
    <t>N°3: Investigación</t>
  </si>
  <si>
    <t>N°4: Mantención</t>
  </si>
  <si>
    <t>N°5: Otros Servicios</t>
  </si>
  <si>
    <t xml:space="preserve">2022 - TOTAL DE GASTO COMPAÑIA - CATEGORIZADO </t>
  </si>
  <si>
    <t>2021 - TOTAL DE GASTO COMPAÑIA CON NUEVA CATEGORIZACION</t>
  </si>
  <si>
    <t>2021 - TOTAL GASTO COMPAÑIA CON ANTIGUA CARACTERJZACJON</t>
  </si>
  <si>
    <t>Categoría interna</t>
  </si>
  <si>
    <t>tCO2e</t>
  </si>
  <si>
    <t>Total 2022</t>
  </si>
  <si>
    <t>Incluida</t>
  </si>
  <si>
    <t>Etiquetas de fila</t>
  </si>
  <si>
    <t>Suma de tCO2 2021</t>
  </si>
  <si>
    <t>Suma de Total 2021</t>
  </si>
  <si>
    <t>Gastos de personal</t>
  </si>
  <si>
    <t>Los impactos asociados a remuneracIones y gastos del personal, se reflejan en los impactos propios de la operación (Traslado de colaboradores, residuos, compra de electricidad, entre otros).</t>
  </si>
  <si>
    <t>Si</t>
  </si>
  <si>
    <t>Se considera las emisiones servicios de software, servicios computacionales, telefonía, limpieza, marketing, investigación, reclutamiento, otros.</t>
  </si>
  <si>
    <t>Transporte local</t>
  </si>
  <si>
    <t>Impactos considerados en categoría de distribución</t>
  </si>
  <si>
    <t>Contabilizados en la categoría de transporte</t>
  </si>
  <si>
    <t>Se consideran las emisiones servicios de software, servicios computacionales, telefonía, limpieza, marketing, investigación, reclutamiento, entre otros.</t>
  </si>
  <si>
    <t>Los impactos asociados a remuneracIones y gastos del personal, se reflejan en los impactos propios de la operación</t>
  </si>
  <si>
    <t>Western Union</t>
  </si>
  <si>
    <t>Corresponde a gasto por comisión, se define que su impacto está contabilizado en las distintas categorías de medición (Transporte, compra de insumos, compra de lectricidad, compra de servicios, entre otras)</t>
  </si>
  <si>
    <t>Corresponde a gasto por comisión, se define que su impacto está contabilizado en las distintas categorías de medición</t>
  </si>
  <si>
    <t>Comisión</t>
  </si>
  <si>
    <t>Depreciación</t>
  </si>
  <si>
    <t>La depreciación de los activos no se considera dentro de la contabilización, activos se encuentran en categoría bienes de capital</t>
  </si>
  <si>
    <t>Arriendo inmobiliario</t>
  </si>
  <si>
    <t>Categoría opcional, con factor de emisión con alta incertidumbre, por lo que se decide no incluir para este ejercicio</t>
  </si>
  <si>
    <t>Depreciacion</t>
  </si>
  <si>
    <t>Transporte Aereo</t>
  </si>
  <si>
    <t>Impactos considerados en categoría de transporte aéreo</t>
  </si>
  <si>
    <t>Comisiones (PU + AE)</t>
  </si>
  <si>
    <t>Impactos contabilizados en otras categorías de medición.</t>
  </si>
  <si>
    <t>Franquicias</t>
  </si>
  <si>
    <t>Transporte Troncal</t>
  </si>
  <si>
    <t>Impactos considerados en categoría de transporte troncal</t>
  </si>
  <si>
    <t>Indemnización</t>
  </si>
  <si>
    <t>Se define que su impacto está contabilizado en las distintas categorías de medición (Transporte, compra de insumos, compra de lectricidad, compra de servicios, entre otras)</t>
  </si>
  <si>
    <t>Se reflejan en los impactos propios de la operación</t>
  </si>
  <si>
    <t>Personal Externo</t>
  </si>
  <si>
    <t>Impactos asociados a esta categoría, están contabilizados en la cateogría de transporte troncal y distribución</t>
  </si>
  <si>
    <t>Ajuste Contable/financiero</t>
  </si>
  <si>
    <t>No se considera</t>
  </si>
  <si>
    <t>Insumos Operacionales y comerciales</t>
  </si>
  <si>
    <t>Los impactos contabilizados en esta categoría,están contabilizados de acuerdo a su materialidad (Categoría de insumos operacionales)</t>
  </si>
  <si>
    <t>Insumos Operacionales</t>
  </si>
  <si>
    <t>Los impactos contabilizados en esta categoría,están contabilizados de acuerdo a su materialidad</t>
  </si>
  <si>
    <t>Se reflejan en los impactos propios de la operación (fuentes fijas, viajes de negocio, entre otros.)</t>
  </si>
  <si>
    <t>Directorio</t>
  </si>
  <si>
    <t>se define que su impacto está contabilizado en las distintas categorías de medición (Transporte, compra de insumos, compra de lectricidad, compra de servicios, entre otras)</t>
  </si>
  <si>
    <t>Compra embalaje</t>
  </si>
  <si>
    <t>Los impactos contabilizados en esta categoría,están contabilizados de acuerdo a su materialidad.</t>
  </si>
  <si>
    <t>Los impactos contabilizados en esta categoría,están contabilizados de acuerdo a su materialidad (Categoría de empaques)</t>
  </si>
  <si>
    <t>Arriendo NIIF</t>
  </si>
  <si>
    <t>Los impactos contabilizados en esta categoría,están contabilizados de acuerdo a su consumo electrico (kWh)</t>
  </si>
  <si>
    <t>.</t>
  </si>
  <si>
    <t>Gestión de residuos</t>
  </si>
  <si>
    <t>Los impactos contabilizados en esta categoría,están contabilizados de acuerdo a su generación y tratamiento</t>
  </si>
  <si>
    <t>Pago proveedores</t>
  </si>
  <si>
    <t>..</t>
  </si>
  <si>
    <t>2021 - TOTAL DE CUENTAS (CON NUEVA CATEGORIZACION)</t>
  </si>
  <si>
    <t>2021 - TOTAL DE CUENTAS (CON ANTIGUA CATEGORIZACION)</t>
  </si>
  <si>
    <t>1.000 por recategorizacion de articulos de aseo a servicios en vez de productos plasticos, 400 se contabilizan en transporte (repuestos y correspondencia reparto y retiro)</t>
  </si>
  <si>
    <t>N° de cuenta</t>
  </si>
  <si>
    <t>Descripción cuenta</t>
  </si>
  <si>
    <t>Tipo de Bien o Servicio</t>
  </si>
  <si>
    <t>Categoría - Exiobase</t>
  </si>
  <si>
    <t>Gasto anual (Pesos chilenos)</t>
  </si>
  <si>
    <t>USD</t>
  </si>
  <si>
    <t>MANTENCION COMPUTACI</t>
  </si>
  <si>
    <t>SER.EXTE.CALL CENTER</t>
  </si>
  <si>
    <t>ASEO OFICINAS Y ORNATO</t>
  </si>
  <si>
    <t>ASES. PROFESIONALES</t>
  </si>
  <si>
    <t>ASEO OFICINAS</t>
  </si>
  <si>
    <t>SERVICIOS EXTERN.CALL CENTER</t>
  </si>
  <si>
    <t>ASESORIAS PROFESIONALES</t>
  </si>
  <si>
    <t>MANTENCION LICENCIAS</t>
  </si>
  <si>
    <t>SEGURIDAD Y ORNATO</t>
  </si>
  <si>
    <t>MANTENCION COMPUTACION</t>
  </si>
  <si>
    <t>MANT. COMPUTACION</t>
  </si>
  <si>
    <t>SEGURIDAD</t>
  </si>
  <si>
    <t>REPARACION OFICINAS</t>
  </si>
  <si>
    <t>MANTENCION LICENCIAS SW</t>
  </si>
  <si>
    <t>Licencias (softwares)</t>
  </si>
  <si>
    <t>OPEX PROYECTOS TI</t>
  </si>
  <si>
    <t>MANT. LICENCIAS SW</t>
  </si>
  <si>
    <t>OTROS ARRIENDOS</t>
  </si>
  <si>
    <t>MEDIOS DE COMUNICAC.</t>
  </si>
  <si>
    <t>CORREO EXTERNO</t>
  </si>
  <si>
    <t>Se contabliza en transporte local (reparto y retiro)</t>
  </si>
  <si>
    <t>PUBLICIDAD MEDIOS</t>
  </si>
  <si>
    <t>GASTOS DE MANTENCION</t>
  </si>
  <si>
    <t>MEDIOS DE COMUNICACION</t>
  </si>
  <si>
    <t>PUBLIC. CORPORATIVO</t>
  </si>
  <si>
    <t>PUBLICIDAD CORPORATIVO</t>
  </si>
  <si>
    <t>VESTUARIO</t>
  </si>
  <si>
    <t>SEGUROS</t>
  </si>
  <si>
    <t>INVESTIGA.DE MERCADO</t>
  </si>
  <si>
    <t>DESARROLLO COMPUTACI</t>
  </si>
  <si>
    <t>DESARROLLO COMPUTACION</t>
  </si>
  <si>
    <t>CONTRATOS DE MANTENC</t>
  </si>
  <si>
    <t>ELEM PROTEC PERSONAL</t>
  </si>
  <si>
    <t>MANTENC.Y REPAR.VEHICULOS</t>
  </si>
  <si>
    <t>pasa a transporte</t>
  </si>
  <si>
    <t>SEGURO DE INVALIDEZ</t>
  </si>
  <si>
    <t>MEDIOS DE COMUN. ADM</t>
  </si>
  <si>
    <t>AGUA</t>
  </si>
  <si>
    <t>ELEM. PROTECCION PERSONAL</t>
  </si>
  <si>
    <t>REMOZAMIENTO OFICINA</t>
  </si>
  <si>
    <t>SEGURO DE DESEMPLEO</t>
  </si>
  <si>
    <t>MANT.Y REP.VEHICULOS</t>
  </si>
  <si>
    <t>PATENTES COMERCIALES</t>
  </si>
  <si>
    <t>REMOZAMIENTO OFICINAS</t>
  </si>
  <si>
    <t>COMPRA PROYECTO</t>
  </si>
  <si>
    <t>TELEFONO Y FAX</t>
  </si>
  <si>
    <t>ARTICULOS OF. Y ASEO</t>
  </si>
  <si>
    <t>ARTICULOS OFICINAS Y ASEO</t>
  </si>
  <si>
    <t>Productos plásticos</t>
  </si>
  <si>
    <t>recategorizacion de productos plasticos a materiales de oficina</t>
  </si>
  <si>
    <t>CONTRATOS MANTENC.SORTER</t>
  </si>
  <si>
    <t>REPUESTOS</t>
  </si>
  <si>
    <t>Productos metálicos</t>
  </si>
  <si>
    <t>Se contabliza en transporte propio</t>
  </si>
  <si>
    <t>BENEFICIO BIENESTAR</t>
  </si>
  <si>
    <t>SERVICIOS IMPRESION</t>
  </si>
  <si>
    <t>SELEC. Y RECLUTAMIE.</t>
  </si>
  <si>
    <t>VEH.DMINISTRACION</t>
  </si>
  <si>
    <t>SELECCION Y RECLUTAMIENTO</t>
  </si>
  <si>
    <t>CAPACITACION CORP.</t>
  </si>
  <si>
    <t>MANTENCION CDS</t>
  </si>
  <si>
    <t>ACTIVI DEL BIENESTAR</t>
  </si>
  <si>
    <t>SERVICIOS DE IMPRESION</t>
  </si>
  <si>
    <t>GRAFICA DE VEHICULOS</t>
  </si>
  <si>
    <t>SEGURO COMPLE SALUD</t>
  </si>
  <si>
    <t>SELECCION Y RECLUTAM</t>
  </si>
  <si>
    <t>SEGUROS INMUEBLES</t>
  </si>
  <si>
    <t>CAPACITACION</t>
  </si>
  <si>
    <t>DESARR ORGANIZACION</t>
  </si>
  <si>
    <t>SALA CUNA</t>
  </si>
  <si>
    <t>GRÁFICA DE VEHÍCULOS</t>
  </si>
  <si>
    <t>COMUNI CORPORATIVO</t>
  </si>
  <si>
    <t>MATERIALES</t>
  </si>
  <si>
    <t>ACTIVIDADES DE BIENESTAR</t>
  </si>
  <si>
    <t>SERVICI DE IMPRESION</t>
  </si>
  <si>
    <t>ACTIVID DE BIENESTAR</t>
  </si>
  <si>
    <t>SEGURO COMPLEMENTARIO SALUD Y VIDA</t>
  </si>
  <si>
    <t>INFOR COMERC.(DICOM)</t>
  </si>
  <si>
    <t>SEGURO COMPL SALUD</t>
  </si>
  <si>
    <t>INVESTIGACION DE MERCADO</t>
  </si>
  <si>
    <t>PUBLICI. PROMOCIONES</t>
  </si>
  <si>
    <t>LIQUID. W.U.GIROS NAC.ES</t>
  </si>
  <si>
    <t>DESARROLLO ORGANIZACIÓN</t>
  </si>
  <si>
    <t>SUSCRIPCIONES</t>
  </si>
  <si>
    <t>REPARACION Y HABILIT</t>
  </si>
  <si>
    <t>PERMISOS DE CIRCULA.</t>
  </si>
  <si>
    <t>COSTO INFORMES COMER</t>
  </si>
  <si>
    <t>ARTICULOS OFICINA</t>
  </si>
  <si>
    <t>DEDUCIBLES SEGUROS</t>
  </si>
  <si>
    <t>MANTEN.Y VEHICULOS</t>
  </si>
  <si>
    <t>ACTIVIDADES DEL BIENESTAR</t>
  </si>
  <si>
    <t>PUBLICIDAD PROMOCIONES</t>
  </si>
  <si>
    <t>INCENTIVO GIFT CARD</t>
  </si>
  <si>
    <t>SEGUROS VEHICULOS</t>
  </si>
  <si>
    <t>COMUNICACIONES CORPORATIV</t>
  </si>
  <si>
    <t>ARRIENDO NIIF MAQUINARIAS Y OTROS</t>
  </si>
  <si>
    <t xml:space="preserve"> </t>
  </si>
  <si>
    <t>INFORMES COMERC. (DICOM)</t>
  </si>
  <si>
    <t>COSTO INFORMES COMERCIALES</t>
  </si>
  <si>
    <t>SEGURO COMPL SALUD Y VIDA</t>
  </si>
  <si>
    <t>PERMISOS DE CIRCULACION</t>
  </si>
  <si>
    <t>LIQU . W.U.GIROS NAC</t>
  </si>
  <si>
    <t>GASTOS NOTARIALES</t>
  </si>
  <si>
    <t>Gastos bancarios</t>
  </si>
  <si>
    <t>PARTES INFRAC.VEHICULAR</t>
  </si>
  <si>
    <t>REPARACION Y HABILITACION REDES</t>
  </si>
  <si>
    <t>MANTENCION Y REP.VEHICULOS</t>
  </si>
  <si>
    <t>PARTES INFRAC.VEHIC.</t>
  </si>
  <si>
    <t>GESTION DESEMPEÑO PREVENCIﾓN Y MEDIO AMIENTE</t>
  </si>
  <si>
    <t>PAGO EN WU - COSTO P</t>
  </si>
  <si>
    <t>MULTAS DCTO ADM 3°</t>
  </si>
  <si>
    <t>Descripción del cálculo</t>
  </si>
  <si>
    <t>Objetivo</t>
  </si>
  <si>
    <t>Medir las emisiones de carbono del traslado de colaboradores entre sus domicilios y lugares dede trabajo</t>
  </si>
  <si>
    <t>Colaboradores propios + colaboradores externos (Subcontrataley y Empresas de Servicios Transitorios) de Chilexpress</t>
  </si>
  <si>
    <t>Periodo</t>
  </si>
  <si>
    <t>Año 2022</t>
  </si>
  <si>
    <t>Fuentes de información para realizar la medición</t>
  </si>
  <si>
    <t>Encuesta de hábitos de transporte realizada a colaboradores propios + externos
 Dotación de chilexpress aperturada por categoria de funciones</t>
  </si>
  <si>
    <t>Metodología de cálculo</t>
  </si>
  <si>
    <t>Encuesta de hábitos de transporte para obtener
 - Distancia recorrida al año por colaboradores
 - Medio de transporte
 - Modalidad de trabajo (% de teletrabajo)
 - días trabajados al año
 - Factor de emisión de acuerdo al medio de transporte aplicado a distancia recorrida y y días trabajados al año
 Extrapolación de resultados de acuerdo a totalidad de dotación mensual
 Se excluyen de la medición los colaboradores externos que prestan servicio de:
 - Transporte
 - Limpieza
 - Seguridad
 - Reciclaje
 - Digitación
 - TI
 La exclusion de estos colaboradores se debe a que el impacto asociado a su traslado o kilometros recorridos se encuentra contabilizado en las categorías de emisión donde se paga su servicio</t>
  </si>
  <si>
    <t>Responsables</t>
  </si>
  <si>
    <t>Control de gestión y análitica, dirección de personas</t>
  </si>
  <si>
    <t>Traslado de Colaboradores 2022</t>
  </si>
  <si>
    <t>Distancia promedio ida-regreso por colaborador</t>
  </si>
  <si>
    <t>Modalidad de trabajo</t>
  </si>
  <si>
    <t>% Modalidad de trabajo</t>
  </si>
  <si>
    <t>Metodo de transporte</t>
  </si>
  <si>
    <t>% Metodo de transporte</t>
  </si>
  <si>
    <t>Factor de emisión por metodo de transporte</t>
  </si>
  <si>
    <t>N° Respuestas encuestas</t>
  </si>
  <si>
    <t>Toneladas CO2 de N° Respuestas</t>
  </si>
  <si>
    <t>Cantidad colaboradores promedio año</t>
  </si>
  <si>
    <t>Kilometros recorridos</t>
  </si>
  <si>
    <t>Km/dia/colaborador</t>
  </si>
  <si>
    <t xml:space="preserve">ton CO2-e </t>
  </si>
  <si>
    <t>100% presencial</t>
  </si>
  <si>
    <t>Auto</t>
  </si>
  <si>
    <t>100% Teletebajo / 0% presencial</t>
  </si>
  <si>
    <t>Bus</t>
  </si>
  <si>
    <t>20% Teletrabajo /80% presencial</t>
  </si>
  <si>
    <t>No utiliza</t>
  </si>
  <si>
    <t>40% Teletrabajo / 60% presencial</t>
  </si>
  <si>
    <t>Bicicleta</t>
  </si>
  <si>
    <t>60% Teletrabajo / 40% presencial</t>
  </si>
  <si>
    <t>Moto</t>
  </si>
  <si>
    <t>80% Teletrabajo / 20% presencial</t>
  </si>
  <si>
    <t>Vehículo eléctrico</t>
  </si>
  <si>
    <t>Moto eléctrica</t>
  </si>
  <si>
    <t>Traslado de Colaboradores 2021</t>
  </si>
  <si>
    <t>100% trabajo presencial</t>
  </si>
  <si>
    <t>100% teletrabajo / 0% presencial</t>
  </si>
  <si>
    <t>75% teletrabajo / 25% presencial</t>
  </si>
  <si>
    <t>No Utiliza</t>
  </si>
  <si>
    <t>50% teletrabajo</t>
  </si>
  <si>
    <t>25% teletrabajo /75% presencial</t>
  </si>
  <si>
    <t>Indicadores de la Categoria de Negocio</t>
  </si>
  <si>
    <t>Nombre Indicador</t>
  </si>
  <si>
    <t>unidad</t>
  </si>
  <si>
    <t>Principales Diferencias</t>
  </si>
  <si>
    <t>Aumenta un 2,1% el formato 100% presencial</t>
  </si>
  <si>
    <t>100% Teletebajo</t>
  </si>
  <si>
    <t>Disminuye un 55,64% el formato 100% teletrabajo</t>
  </si>
  <si>
    <t>20% Teletrabajo (4 días a la semana)</t>
  </si>
  <si>
    <t>Disminuye un 48,87% el formato 20% teletrabajo</t>
  </si>
  <si>
    <t>40% Teletrabajo (3 días a la semana)</t>
  </si>
  <si>
    <t>Disminuye un 44,79% el formato 40% teletrabajo</t>
  </si>
  <si>
    <t>80% Teletrabajo (1 día a la semana)</t>
  </si>
  <si>
    <t>Disminuye un 78,51% el formato 80% teletrabajo</t>
  </si>
  <si>
    <t>Medios de transporte</t>
  </si>
  <si>
    <t>Aumenta un 16,08% el medio de transporte auto</t>
  </si>
  <si>
    <t>Disminuye un 7,34% el medio de transporte bus o transporte público</t>
  </si>
  <si>
    <t>Disminuye un 55,64% los colaboradores que no utilizan medio de transporte</t>
  </si>
  <si>
    <t>Aumenta un 180,82% el uso de la bicicleta o caminando</t>
  </si>
  <si>
    <t>Disminuye un 18,89% los colaboradores que no utilizan moto</t>
  </si>
  <si>
    <t>Se incorpora esta alternativa en 2022</t>
  </si>
  <si>
    <t>Kilometros por colaborador promedio</t>
  </si>
  <si>
    <t>Disminuye un 14,72% loskilometros recorridos por colaborador</t>
  </si>
  <si>
    <t>% de respuesta encuesta</t>
  </si>
  <si>
    <t>El % de respuesta considerandolos colaboradores presenta diferencias relevantes</t>
  </si>
  <si>
    <t>% presencialidad</t>
  </si>
  <si>
    <t xml:space="preserve">Aumento de presencialidad </t>
  </si>
  <si>
    <t>km/dia/colaborador</t>
  </si>
  <si>
    <t>Disminución de distancia recorrida (declarada en encuesta) (distancia efectivamente recorrida segun presencialidad/teletrabajo)</t>
  </si>
  <si>
    <t>% auto</t>
  </si>
  <si>
    <t>Aumento de uso de auto por sobre otros medios de transporte</t>
  </si>
  <si>
    <t>kgco2/colaborador/dia</t>
  </si>
  <si>
    <t>1) Disminución de distancia recorrida (declarada) por colaborador (-15%) 
2) Aumento de presencialidad (+9%) 
3) Aumento de uso del auto por sobre otros medios de transporte (+8%)</t>
  </si>
  <si>
    <t>cantidad colaboradores</t>
  </si>
  <si>
    <t>emision CO2</t>
  </si>
  <si>
    <t>kgco2/pieza</t>
  </si>
  <si>
    <t>Medio de transporte</t>
  </si>
  <si>
    <t>Factor de emisión</t>
  </si>
  <si>
    <t>Tren</t>
  </si>
  <si>
    <t>CONSUMO DE ELECTRICIDAD</t>
  </si>
  <si>
    <t>Por favor llene la siguiente información sobre el consumo de electricidad en sus instalaciones durante el año calendario 2021.</t>
  </si>
  <si>
    <t>Facturas, registros internos de consumo, SAP u otros.</t>
  </si>
  <si>
    <t>En el caso de no contar con información de ciertas instalaciones, dejar en blanco la casilla de consumo (se extrapolará dependiendo la ubicación, metraje, tipo de unidad operativa y ubicación).</t>
  </si>
  <si>
    <t>Q</t>
  </si>
  <si>
    <t>Total emisiones</t>
  </si>
  <si>
    <t>kwh</t>
  </si>
  <si>
    <t>Unidad operativa</t>
  </si>
  <si>
    <t>Nombre sucursal</t>
  </si>
  <si>
    <t>Región</t>
  </si>
  <si>
    <t>Comuna</t>
  </si>
  <si>
    <t>Zona</t>
  </si>
  <si>
    <t>Tipo de electricidad</t>
  </si>
  <si>
    <t>Cantidad</t>
  </si>
  <si>
    <t>Matriz</t>
  </si>
  <si>
    <t>Variación</t>
  </si>
  <si>
    <t>CD</t>
  </si>
  <si>
    <t>ENEA EXPRESS</t>
  </si>
  <si>
    <t>METROPOLITANA DE SANTIAGO</t>
  </si>
  <si>
    <t>PUDAHUEL</t>
  </si>
  <si>
    <t>Rm</t>
  </si>
  <si>
    <t>Cliente libre (no renovable)</t>
  </si>
  <si>
    <t>Kwh</t>
  </si>
  <si>
    <t>SEN</t>
  </si>
  <si>
    <t>ENEA IV</t>
  </si>
  <si>
    <t>CO</t>
  </si>
  <si>
    <t>CD SAN BERNARDO</t>
  </si>
  <si>
    <t>SAN BERNARDO</t>
  </si>
  <si>
    <t>Compra de la matriz energética</t>
  </si>
  <si>
    <t>CR</t>
  </si>
  <si>
    <t>ENEA II</t>
  </si>
  <si>
    <t>RM</t>
  </si>
  <si>
    <t>OFICINA PROPIA</t>
  </si>
  <si>
    <t>CDT CURAUMA</t>
  </si>
  <si>
    <t>VALPARAISO</t>
  </si>
  <si>
    <t>C- NORTE</t>
  </si>
  <si>
    <t>FRANQUICIA</t>
  </si>
  <si>
    <t>CONCEPCION EXPRESS</t>
  </si>
  <si>
    <t>BIOBIO</t>
  </si>
  <si>
    <t>HUALPEN</t>
  </si>
  <si>
    <t>Sur</t>
  </si>
  <si>
    <t>PUERTO MONTT EXPRESS</t>
  </si>
  <si>
    <t>LOS LAGOS</t>
  </si>
  <si>
    <t>PUERTO MONTT</t>
  </si>
  <si>
    <t>Austral</t>
  </si>
  <si>
    <t>Descuento ERNC</t>
  </si>
  <si>
    <t>IQUIQUE EXPRESS</t>
  </si>
  <si>
    <t>TARAPACA</t>
  </si>
  <si>
    <t>IQUIQUE</t>
  </si>
  <si>
    <t>Norte</t>
  </si>
  <si>
    <t>LOS ANGELES EXPRESS</t>
  </si>
  <si>
    <t>LOS ANGELES</t>
  </si>
  <si>
    <t>ANTOFAGASTA EXPRESS</t>
  </si>
  <si>
    <t>ANTOFAGASTA</t>
  </si>
  <si>
    <t>Factores de emisión 2021</t>
  </si>
  <si>
    <t>Factores de emisión 2022</t>
  </si>
  <si>
    <t>Dif.</t>
  </si>
  <si>
    <t>CHILLAN EXPRESS</t>
  </si>
  <si>
    <t>NUBLE</t>
  </si>
  <si>
    <t>CHILLAN</t>
  </si>
  <si>
    <t>Centro Sur</t>
  </si>
  <si>
    <t>Electricidad- alcance 2</t>
  </si>
  <si>
    <t>CO CONCON</t>
  </si>
  <si>
    <t>CONCON</t>
  </si>
  <si>
    <t>Centro Norte</t>
  </si>
  <si>
    <t>SEA</t>
  </si>
  <si>
    <t>QUILPUE CR</t>
  </si>
  <si>
    <t>QUILPUE</t>
  </si>
  <si>
    <t>SEM</t>
  </si>
  <si>
    <t>CO PUERTO VARAS</t>
  </si>
  <si>
    <t>PUERTO VARAS</t>
  </si>
  <si>
    <t>Electricidad- alcance 3</t>
  </si>
  <si>
    <t>ERNC</t>
  </si>
  <si>
    <t>PLAZA NORTE</t>
  </si>
  <si>
    <t>HUECHURABA</t>
  </si>
  <si>
    <t>VALDIVIA EXPRESS</t>
  </si>
  <si>
    <t>LOS RÍOS</t>
  </si>
  <si>
    <t>VALDIVIA</t>
  </si>
  <si>
    <t>CURICO ALAMEDA</t>
  </si>
  <si>
    <t>MAULE</t>
  </si>
  <si>
    <t>CURICO</t>
  </si>
  <si>
    <t>C- SUR</t>
  </si>
  <si>
    <t>Efecto mejora del factor de emisión</t>
  </si>
  <si>
    <t>SAN ANTONIO EXPRESS</t>
  </si>
  <si>
    <t>SAN ANTONIO</t>
  </si>
  <si>
    <t>https://www.diariosustentable.com/2023/01/2022-presenta-matriz-energetica-mas-limpia-de-los-ultimos-12-anos/</t>
  </si>
  <si>
    <t>COPIAPO EXPRESS</t>
  </si>
  <si>
    <t>ATACAMA</t>
  </si>
  <si>
    <t>COPIAPO</t>
  </si>
  <si>
    <t>emisiones 2022 con f.emisión 2021 CO2</t>
  </si>
  <si>
    <t>COPIAPO LOS CARRERA</t>
  </si>
  <si>
    <t>NORTE</t>
  </si>
  <si>
    <t>efecto mejora factor de emision kwh</t>
  </si>
  <si>
    <t>OSORNO EXPRESS</t>
  </si>
  <si>
    <t>OSORNO</t>
  </si>
  <si>
    <t>efecto mejora factor emision %</t>
  </si>
  <si>
    <t>CONCEPCION MALL EL TREBOL</t>
  </si>
  <si>
    <t>CONCEPCION</t>
  </si>
  <si>
    <t>SUR</t>
  </si>
  <si>
    <t>RANCAGUA EXPRESS</t>
  </si>
  <si>
    <t>LIBERTADOR GRAL BERNARDO O HIGGINS</t>
  </si>
  <si>
    <t>RANCAGUA</t>
  </si>
  <si>
    <t>MAPOCHO</t>
  </si>
  <si>
    <t>QUINTA NORMAL</t>
  </si>
  <si>
    <t>TEMUCO EXPRESS</t>
  </si>
  <si>
    <t>ARAUCANIA</t>
  </si>
  <si>
    <t>PADRE LAS CASAS</t>
  </si>
  <si>
    <t>Resumen / Indicadores Operacionales</t>
  </si>
  <si>
    <t>TALCA VAROLI</t>
  </si>
  <si>
    <t>TALCA</t>
  </si>
  <si>
    <t>SAN FELIPE EXPRESS</t>
  </si>
  <si>
    <t>SAN FELIPE</t>
  </si>
  <si>
    <t>Consumo electrico</t>
  </si>
  <si>
    <t>Menor cantidad de unidades (246 a 231) y menor consumo por instalacion de luces led (pasa de un 18% a un 77% de las instalaciones a nivel nacional con luces led)</t>
  </si>
  <si>
    <t>PUENTE ALTO DOS</t>
  </si>
  <si>
    <t>PUENTE ALTO</t>
  </si>
  <si>
    <t>intensidad kwh/pieza</t>
  </si>
  <si>
    <t>No proporcional a la demanda por consumo fijo en instalaciones</t>
  </si>
  <si>
    <t>PAJARITOS</t>
  </si>
  <si>
    <t>MAIPU</t>
  </si>
  <si>
    <t>Menor consumo de energia en ENEA</t>
  </si>
  <si>
    <t>VICTORIA CENTRO</t>
  </si>
  <si>
    <t xml:space="preserve">Aumento 1% </t>
  </si>
  <si>
    <t>CALAMA EXPRESS</t>
  </si>
  <si>
    <t>CALAMA</t>
  </si>
  <si>
    <t>consumo electrico s/ERNC</t>
  </si>
  <si>
    <t>COQUIMBO CENTRO EMPRESARIAL</t>
  </si>
  <si>
    <t>COQUIMBO</t>
  </si>
  <si>
    <t>Factor emisión ponderado</t>
  </si>
  <si>
    <t>Efecto mejora matriz energetica -20% y aumento 1% ERNC en el total del consumo</t>
  </si>
  <si>
    <t>PUNTA ARENAS MENENDEZ</t>
  </si>
  <si>
    <t>MAGALLANES Y LA ANTARTICA CHILENA</t>
  </si>
  <si>
    <t>PUNTA ARENAS</t>
  </si>
  <si>
    <t>AUSTRAL</t>
  </si>
  <si>
    <t>cantidad de unidades</t>
  </si>
  <si>
    <t>Menor cantidad de unidades 246 a 231 por menor demanda</t>
  </si>
  <si>
    <t>CASTRO CR</t>
  </si>
  <si>
    <t>CASTRO</t>
  </si>
  <si>
    <t>kwh/unidad</t>
  </si>
  <si>
    <t>Menor consumo por instalacion luces led</t>
  </si>
  <si>
    <t>APUMANQUE DOS</t>
  </si>
  <si>
    <t>LAS CONDES</t>
  </si>
  <si>
    <t>kwh/CD</t>
  </si>
  <si>
    <t>BRASIL</t>
  </si>
  <si>
    <t>SANTIAGO CENTRO</t>
  </si>
  <si>
    <t>kwh/oficina+franquicia</t>
  </si>
  <si>
    <t>BILBAO</t>
  </si>
  <si>
    <t>PROVIDENCIA</t>
  </si>
  <si>
    <t>Emisiones tCO2</t>
  </si>
  <si>
    <t>1) Mejora de factor de emisión de matriz energetica nacional de un -23% (-18%)
2) Menor consumo electrico por instalaciones LED y menor cantidad de unidades (-11%) 
3) Aumento de consumo ERNC respecto del total (+1%)</t>
  </si>
  <si>
    <t>ANTOFAGASTA BAQUEDANO</t>
  </si>
  <si>
    <t>Emisión por pieza kgco2/pieza</t>
  </si>
  <si>
    <t>Reduccion de emisiones totales (-29%) no es proporcional a la baja de demanda (-42%) por consumo fijo en instalaciones. Intensidad energetica por pieza aumenta +54%, sin embargo la mejora del factor de emisión contribuye a reducir -32%</t>
  </si>
  <si>
    <t>ALAMEDA LIBERTADOR B OHIGGINS</t>
  </si>
  <si>
    <t>LINARES CR</t>
  </si>
  <si>
    <t>LINARES</t>
  </si>
  <si>
    <t>CO SANTIAGO CENTRO</t>
  </si>
  <si>
    <t>ARICA EXPRESS</t>
  </si>
  <si>
    <t>ARICA Y PARINACOTA</t>
  </si>
  <si>
    <t>ARICA</t>
  </si>
  <si>
    <t>SAN FERNANDO EXPRESS</t>
  </si>
  <si>
    <t>SAN FERNANDO</t>
  </si>
  <si>
    <t>ANTOFAGASTA ARAUCO</t>
  </si>
  <si>
    <t>CHILLAN CINCO DE ABRIL</t>
  </si>
  <si>
    <t>QUILLOTA RENE CORTAZAR</t>
  </si>
  <si>
    <t>PUERTO MONTT CENTRO</t>
  </si>
  <si>
    <t>LAS CONDES CR</t>
  </si>
  <si>
    <t>PUNTA ARENAS EXPRESS</t>
  </si>
  <si>
    <t>CURICO CENTRO</t>
  </si>
  <si>
    <t>QUILLOTA EXPRESS</t>
  </si>
  <si>
    <t>QUILLOTA</t>
  </si>
  <si>
    <t>CO HUECHURABA</t>
  </si>
  <si>
    <t>PUERTO MONTT IBAÑEZ DOS</t>
  </si>
  <si>
    <t>CO MACUL</t>
  </si>
  <si>
    <t>MACUL</t>
  </si>
  <si>
    <t xml:space="preserve">CASTRO </t>
  </si>
  <si>
    <t>EL BOSQUE NORTE</t>
  </si>
  <si>
    <t xml:space="preserve">VITACURA CAMINO DE ASIS </t>
  </si>
  <si>
    <t>VITACURA</t>
  </si>
  <si>
    <t>LA SERENA CORDOVEZ</t>
  </si>
  <si>
    <t>LA SERENA</t>
  </si>
  <si>
    <t>TEMUCO CAUPOLICAN</t>
  </si>
  <si>
    <t>TEMUCO</t>
  </si>
  <si>
    <t>CO LOS VILOS</t>
  </si>
  <si>
    <t>LOS VILOS</t>
  </si>
  <si>
    <t>Centro norte</t>
  </si>
  <si>
    <t>BODEGA SAN FRANCISCO</t>
  </si>
  <si>
    <t>MELIPILLA</t>
  </si>
  <si>
    <t>CO QUELLON</t>
  </si>
  <si>
    <t>QUELLON</t>
  </si>
  <si>
    <t>CD SAN PEDRO DE LA PAZ</t>
  </si>
  <si>
    <t>SAN PEDRO DE LA PAZ</t>
  </si>
  <si>
    <t>DO COYANCURA</t>
  </si>
  <si>
    <t>PROVIDENCIA STA MAGDALENA</t>
  </si>
  <si>
    <t xml:space="preserve">SANTIAGO SAN MIGUEL </t>
  </si>
  <si>
    <t>SAN MIGUEL</t>
  </si>
  <si>
    <t>ABATE MOLINA</t>
  </si>
  <si>
    <t>SANTA CRUZ</t>
  </si>
  <si>
    <t>OSORNO OHIGGINS</t>
  </si>
  <si>
    <t>COYHAIQUE EXPRESS</t>
  </si>
  <si>
    <t>AISEN DEL GRAL C IBANEZ DEL CAMPO</t>
  </si>
  <si>
    <t>COYHAIQUE</t>
  </si>
  <si>
    <t>TALCA CATORCE ORIENTE</t>
  </si>
  <si>
    <t>CD CURICO</t>
  </si>
  <si>
    <t>LA SERENA AMUNATEGUI</t>
  </si>
  <si>
    <t>TEMUCO PORTALES</t>
  </si>
  <si>
    <t>SANTIAGO MATUCANA</t>
  </si>
  <si>
    <t>DO PATRONATO</t>
  </si>
  <si>
    <t>RECOLETA</t>
  </si>
  <si>
    <t>MALL PLAZA VESPUCIO</t>
  </si>
  <si>
    <t>LA FLORIDA</t>
  </si>
  <si>
    <t>VIÑA DEL MAR PLAZA LATORRE</t>
  </si>
  <si>
    <t>VINA DEL MAR</t>
  </si>
  <si>
    <t>CURICO MALL</t>
  </si>
  <si>
    <t>CARLOS ANTUNEZ</t>
  </si>
  <si>
    <t>CHILLAN ISABEL RIQUELME</t>
  </si>
  <si>
    <t>ASTURIAS</t>
  </si>
  <si>
    <t>COYHAIQUE BILBAO</t>
  </si>
  <si>
    <t xml:space="preserve">MATTA </t>
  </si>
  <si>
    <t>COPIAPO ATACAMA</t>
  </si>
  <si>
    <t>RANCAGUA BUERAS</t>
  </si>
  <si>
    <t>VALLENAR CR</t>
  </si>
  <si>
    <t>VALLENAR</t>
  </si>
  <si>
    <t>OVALLE EXPRESS</t>
  </si>
  <si>
    <t>OVALLE</t>
  </si>
  <si>
    <t>RANCAGUA CAMPOS</t>
  </si>
  <si>
    <t>LA CALERA</t>
  </si>
  <si>
    <t xml:space="preserve">METRO TOBALABA  </t>
  </si>
  <si>
    <t>MALL PLAZA TOBALABA DOS</t>
  </si>
  <si>
    <t>PUERTO MONTT CARDONAL</t>
  </si>
  <si>
    <t>OSORNO FCO ERRAZURIZ</t>
  </si>
  <si>
    <t>COLO COLO CENTRO</t>
  </si>
  <si>
    <t>TALCA 1 SUR</t>
  </si>
  <si>
    <t>IQUIQUE VIVAR</t>
  </si>
  <si>
    <t>COQUIMBO CENTRO</t>
  </si>
  <si>
    <t>RANCAGUA AV CACHAPOAL</t>
  </si>
  <si>
    <t>SAN BERNARDO CR</t>
  </si>
  <si>
    <t>SANTIAGO VICUNA MACKENNA</t>
  </si>
  <si>
    <t>Fuente</t>
  </si>
  <si>
    <t>Categorías</t>
  </si>
  <si>
    <t>Considerada</t>
  </si>
  <si>
    <t>Demanda 2022</t>
  </si>
  <si>
    <t>Tipo</t>
  </si>
  <si>
    <t>Conversión a kWh</t>
  </si>
  <si>
    <t>CONCEPCION OHIGGINS</t>
  </si>
  <si>
    <t>Distribución propia (furgones)</t>
  </si>
  <si>
    <t>SI</t>
  </si>
  <si>
    <t>Lts</t>
  </si>
  <si>
    <t>TALCA EXPRESS</t>
  </si>
  <si>
    <t>Distribución propia (motos)</t>
  </si>
  <si>
    <t>VIÑA DEL MAR SIMON BOLIVAR</t>
  </si>
  <si>
    <t>Distribución propia (VEs)</t>
  </si>
  <si>
    <t>LOS DOMINICOS</t>
  </si>
  <si>
    <t>Distribución externa</t>
  </si>
  <si>
    <t>NO</t>
  </si>
  <si>
    <t>LA SERENA EXPRESS</t>
  </si>
  <si>
    <t>Transporte troncal propio</t>
  </si>
  <si>
    <t>RAMON PICARTE</t>
  </si>
  <si>
    <t>LOS RIOS</t>
  </si>
  <si>
    <t>Transporte troncal externo</t>
  </si>
  <si>
    <t>ALTO HOSPICIO</t>
  </si>
  <si>
    <t>CALAMA MALL</t>
  </si>
  <si>
    <t>Fuentes fijas generadores</t>
  </si>
  <si>
    <t>BANDERA</t>
  </si>
  <si>
    <t>Fuentes fijas calefacción</t>
  </si>
  <si>
    <t>Gas Natural</t>
  </si>
  <si>
    <t xml:space="preserve">TALAGANTE </t>
  </si>
  <si>
    <t>TALAGANTE</t>
  </si>
  <si>
    <t>GRI</t>
  </si>
  <si>
    <t>Comentario</t>
  </si>
  <si>
    <t>NUCLEO OCHAGAVIA</t>
  </si>
  <si>
    <t>PEDRO AGUIRRE CERDA</t>
  </si>
  <si>
    <t>302-1</t>
  </si>
  <si>
    <t>De acuerdo a la definición del indicador, solo consideramos la energía consumida por el transporte propio, las instalaciones propias o controladas por la empresa y el consumo de combustible de las fuentes fijas</t>
  </si>
  <si>
    <t>IRARRAZAVAL</t>
  </si>
  <si>
    <t>NUNOA</t>
  </si>
  <si>
    <t>Conversiones</t>
  </si>
  <si>
    <t>302-3</t>
  </si>
  <si>
    <t>Intensidad energetica</t>
  </si>
  <si>
    <t>kcal</t>
  </si>
  <si>
    <t>TALCAHUANO DOS</t>
  </si>
  <si>
    <t>TALCAHUANO</t>
  </si>
  <si>
    <t>Cosnumo electrico ERNC</t>
  </si>
  <si>
    <t>ARICA VEINTIUNO DE MAYO</t>
  </si>
  <si>
    <t>Enel X</t>
  </si>
  <si>
    <t>302-4</t>
  </si>
  <si>
    <t>% ERNC Consumo</t>
  </si>
  <si>
    <t>CALAMA ABAROA</t>
  </si>
  <si>
    <t>Diesel (1 lt)</t>
  </si>
  <si>
    <t>Consumo combustible</t>
  </si>
  <si>
    <t>MACUL CAMINO AGRICOLA</t>
  </si>
  <si>
    <t>% ERNC combustible</t>
  </si>
  <si>
    <t>VIVACETA</t>
  </si>
  <si>
    <t>INDEPENDENCIA</t>
  </si>
  <si>
    <t>Gas (1 m3)</t>
  </si>
  <si>
    <t>VILLARRICA</t>
  </si>
  <si>
    <t>http://old.acee.cl/576/articles-59153_doc_pdf.pdf</t>
  </si>
  <si>
    <t>FLEMING</t>
  </si>
  <si>
    <t>MALL PLAZA SUR</t>
  </si>
  <si>
    <t>PEDRO FONTOVA</t>
  </si>
  <si>
    <t>CONCEPCION MAIPU DOS</t>
  </si>
  <si>
    <t>PUCON</t>
  </si>
  <si>
    <t>TEMUCO AV ALEMANIA</t>
  </si>
  <si>
    <t>CIUDAD EMPRESARIAL DOS</t>
  </si>
  <si>
    <t xml:space="preserve">VALLENAR </t>
  </si>
  <si>
    <t>AVENIDA PAJARITOS FR</t>
  </si>
  <si>
    <t>CONCEPCION ROTONDA GENERAL BONILLA</t>
  </si>
  <si>
    <t xml:space="preserve">PLAZA EGAÑA </t>
  </si>
  <si>
    <t>RENCA</t>
  </si>
  <si>
    <t>CONCEPCION PRAT DOS</t>
  </si>
  <si>
    <t>VIÑA SAN ANTONIO</t>
  </si>
  <si>
    <t>MANUEL MONTT</t>
  </si>
  <si>
    <t>CONCEPCION COLO COLO</t>
  </si>
  <si>
    <t>SANTIAGO CATEDRAL</t>
  </si>
  <si>
    <t>QUILPUE CENTRO</t>
  </si>
  <si>
    <t>LA DEHESA</t>
  </si>
  <si>
    <t>LO BARNECHEA</t>
  </si>
  <si>
    <t>PROVIDENCIA SANTA BEATRIZ</t>
  </si>
  <si>
    <t>ESTACION CENTRAL FR</t>
  </si>
  <si>
    <t>ESTACION CENTRAL</t>
  </si>
  <si>
    <t>LA CISTERNAS DOS</t>
  </si>
  <si>
    <t>LA CISTERNA</t>
  </si>
  <si>
    <t>BUIN BALMACEDA</t>
  </si>
  <si>
    <t>BUIN</t>
  </si>
  <si>
    <t>SANTA ROSA</t>
  </si>
  <si>
    <t>SAN JOAQUIN</t>
  </si>
  <si>
    <t>LINARES PLAZA</t>
  </si>
  <si>
    <t>VILLA ALEMANA</t>
  </si>
  <si>
    <t>LA REINA PRINCIPE DE GALES</t>
  </si>
  <si>
    <t>LA REINA</t>
  </si>
  <si>
    <t>WALLMART GRAN AVENIDA</t>
  </si>
  <si>
    <t>MALL PLAZA COPIAPO</t>
  </si>
  <si>
    <t>LOS ANDES CENTRO</t>
  </si>
  <si>
    <t>LOS ANDES</t>
  </si>
  <si>
    <t>SANTIAGO GALERIA ESPAÑA</t>
  </si>
  <si>
    <t>GILBERTO FUENZALIDA LAS CONDES</t>
  </si>
  <si>
    <t>MALL PLAZA MIRADOR BIO BIO</t>
  </si>
  <si>
    <t>ANGOL CR</t>
  </si>
  <si>
    <t>ANGOL</t>
  </si>
  <si>
    <t>ANCUD</t>
  </si>
  <si>
    <t>SAN FELIPE CENTRO</t>
  </si>
  <si>
    <t>RECOLETA GAMERO</t>
  </si>
  <si>
    <t>ANTOFAGASTA COSTANERA</t>
  </si>
  <si>
    <t>ARICA SANTA MARIA</t>
  </si>
  <si>
    <t>MALL PLAZA TOTTUS</t>
  </si>
  <si>
    <t>MEJILLONES</t>
  </si>
  <si>
    <t>ISLA TEJA VALDIVIA</t>
  </si>
  <si>
    <t>VESPUCIO EL ROSAL</t>
  </si>
  <si>
    <t>COYHAIQUE 21 DE MAYO</t>
  </si>
  <si>
    <t>VALPARAISO BRASIL</t>
  </si>
  <si>
    <t>EL TAMARUGO</t>
  </si>
  <si>
    <t>OVALLE MIGUEL AGUIRRE</t>
  </si>
  <si>
    <t>LIDER SANTA AMALIA</t>
  </si>
  <si>
    <t>SAN BORJA FR</t>
  </si>
  <si>
    <t>PLAZA EL BOSQUE</t>
  </si>
  <si>
    <t>EL BOSQUE</t>
  </si>
  <si>
    <t>PUNTA ARENAS ESPAÑA</t>
  </si>
  <si>
    <t>METRO PAJARITOS</t>
  </si>
  <si>
    <t>LO PRADO</t>
  </si>
  <si>
    <t>SAN PEDRO DE LA PAZ DOS</t>
  </si>
  <si>
    <t>QUILLOTA FREIRE</t>
  </si>
  <si>
    <t xml:space="preserve">CAMINO A MELIPILLA </t>
  </si>
  <si>
    <t>CERRILLOS</t>
  </si>
  <si>
    <t>PEÑALOLEN LOS PRESIDENTES</t>
  </si>
  <si>
    <t>PENALOLEN</t>
  </si>
  <si>
    <t>MAIPU CR</t>
  </si>
  <si>
    <t>SANTIAGO FRANKLIN</t>
  </si>
  <si>
    <t>METRO UNIVERSIDAD DE CHILE</t>
  </si>
  <si>
    <t>OVALLE MALL</t>
  </si>
  <si>
    <t>MEJICANA PUNTA ARENAS</t>
  </si>
  <si>
    <t>RECOLETA PATRONATO</t>
  </si>
  <si>
    <t>SANTIAGO PUENTE</t>
  </si>
  <si>
    <t>CONSISTORIAL</t>
  </si>
  <si>
    <t>REÑACA</t>
  </si>
  <si>
    <t>RENACA</t>
  </si>
  <si>
    <t>PARQUE ARAUCO</t>
  </si>
  <si>
    <t>MALL PLAZA EGAÑA</t>
  </si>
  <si>
    <t xml:space="preserve">METRO MONEDA </t>
  </si>
  <si>
    <t>OHIGGINS QUILICURA</t>
  </si>
  <si>
    <t>QUILICURA</t>
  </si>
  <si>
    <t>CERRO EL PLOMO 5680</t>
  </si>
  <si>
    <t>CO VIÑA SIMON BOLIVAR</t>
  </si>
  <si>
    <t>IQUIQUE SUR</t>
  </si>
  <si>
    <t>SUBCENTRO ESCUELA MILITAR</t>
  </si>
  <si>
    <t>SANTIAGO APOQUINDO</t>
  </si>
  <si>
    <t>LOMAS COLORADAS</t>
  </si>
  <si>
    <t>ZOFRI</t>
  </si>
  <si>
    <t>EL BELLOTO DOS</t>
  </si>
  <si>
    <t>LOS MILITARES</t>
  </si>
  <si>
    <t>VALDIVIA CAMILO HENRIQUEZ</t>
  </si>
  <si>
    <t>EL SALVADOR</t>
  </si>
  <si>
    <t>DIEGO DE ALMAGRO</t>
  </si>
  <si>
    <t>PLAZUELA LOS HEROES IQUIQUE</t>
  </si>
  <si>
    <t>SANTIAGO MERCED</t>
  </si>
  <si>
    <t xml:space="preserve">CHICUREO </t>
  </si>
  <si>
    <t>COLINA</t>
  </si>
  <si>
    <t xml:space="preserve">TOTTUS CIUDAD EMPRESARIAL </t>
  </si>
  <si>
    <t>LIBERTAD CENTRO</t>
  </si>
  <si>
    <t>VIÑA DEL MAR</t>
  </si>
  <si>
    <t>CHEPICA</t>
  </si>
  <si>
    <t>SAN MIGUEL CR</t>
  </si>
  <si>
    <t>CHAMISERO</t>
  </si>
  <si>
    <t>CONCEPCION CR</t>
  </si>
  <si>
    <t>QUILICURA BUENAVENTURA</t>
  </si>
  <si>
    <t>VIÑA LIBERTAD</t>
  </si>
  <si>
    <t>CURICO CR</t>
  </si>
  <si>
    <t>CONGRESO CENTRO</t>
  </si>
  <si>
    <t>WALLMART PUENTE ALTO</t>
  </si>
  <si>
    <t>MALL COSTANERA CENTER</t>
  </si>
  <si>
    <t>MAIPU CORONEL SANTIAGO BUERAS</t>
  </si>
  <si>
    <t>QUILICURA CR</t>
  </si>
  <si>
    <t>LAMPA ARTURO PRAT</t>
  </si>
  <si>
    <t>LAMPA</t>
  </si>
  <si>
    <t>CHICUREO DOS</t>
  </si>
  <si>
    <t>COLINA CENTRO</t>
  </si>
  <si>
    <t>PUERTO MONTT EL TEPUAL</t>
  </si>
  <si>
    <t>USO DE EMPAQUE</t>
  </si>
  <si>
    <t>Por favor llene la siguiente información sobre la compra de empaques para elementos despachados durante el año calendario 2021.</t>
  </si>
  <si>
    <t>Empaque y Fin de Vida / Insumos Operacionales 2022</t>
  </si>
  <si>
    <t>Compra</t>
  </si>
  <si>
    <t>Categoria de Emisión</t>
  </si>
  <si>
    <t>Cuenta Contable</t>
  </si>
  <si>
    <t>Tipo de empaque</t>
  </si>
  <si>
    <t>Producto</t>
  </si>
  <si>
    <t>Materialidad</t>
  </si>
  <si>
    <t>Q unidades</t>
  </si>
  <si>
    <t>Peso de materiales (ton)</t>
  </si>
  <si>
    <t>CLP</t>
  </si>
  <si>
    <t>Empaque y fin de vida</t>
  </si>
  <si>
    <t>LINEA DE EMBALAJE CH</t>
  </si>
  <si>
    <t>INSUMO DE EMBALAJE</t>
  </si>
  <si>
    <t>Cajas</t>
  </si>
  <si>
    <t>Cartón</t>
  </si>
  <si>
    <t>Sobre</t>
  </si>
  <si>
    <t>Papel</t>
  </si>
  <si>
    <t>MATERIALES GP</t>
  </si>
  <si>
    <t>Etiquetas</t>
  </si>
  <si>
    <t>Adhesivo</t>
  </si>
  <si>
    <t>Cinta</t>
  </si>
  <si>
    <t>Logo</t>
  </si>
  <si>
    <t>Valija</t>
  </si>
  <si>
    <t>Cuero</t>
  </si>
  <si>
    <t>INSUMO OPERACIONAL</t>
  </si>
  <si>
    <t>Film</t>
  </si>
  <si>
    <t>PE baja densidad</t>
  </si>
  <si>
    <t>Bandeja</t>
  </si>
  <si>
    <t>PE alta densidad</t>
  </si>
  <si>
    <t>Bolsa</t>
  </si>
  <si>
    <t>Pallet</t>
  </si>
  <si>
    <t>Madera</t>
  </si>
  <si>
    <t>Rollo</t>
  </si>
  <si>
    <t>Ventanilla</t>
  </si>
  <si>
    <t>Plástico</t>
  </si>
  <si>
    <t>Sello</t>
  </si>
  <si>
    <t>Carpeta</t>
  </si>
  <si>
    <t>Libreta</t>
  </si>
  <si>
    <t>Insumo Operacional</t>
  </si>
  <si>
    <t>Emisiones Cajas de Cartón con % Fibra Reciclada 2022</t>
  </si>
  <si>
    <t>Nombre del producto</t>
  </si>
  <si>
    <t>Peso (ton)</t>
  </si>
  <si>
    <t>Composición</t>
  </si>
  <si>
    <t>% Fibra reciclada</t>
  </si>
  <si>
    <t>% Fibra Virgen</t>
  </si>
  <si>
    <t>Factor reciclado uso</t>
  </si>
  <si>
    <t>Factor virgen uso</t>
  </si>
  <si>
    <t>Factor fin de vida</t>
  </si>
  <si>
    <t>CO2 compra</t>
  </si>
  <si>
    <t>CO2 fin de vida</t>
  </si>
  <si>
    <t>Caja grande café</t>
  </si>
  <si>
    <t>Caja mediana autoarmable</t>
  </si>
  <si>
    <t>Caja chica autoarmable</t>
  </si>
  <si>
    <t>Caja multiproposito autoarmable</t>
  </si>
  <si>
    <t>Caja sin cuna</t>
  </si>
  <si>
    <t>Caja chica</t>
  </si>
  <si>
    <t>Caja roja celular</t>
  </si>
  <si>
    <t>% de materiales reciclados</t>
  </si>
  <si>
    <t>% de materiales virgen</t>
  </si>
  <si>
    <t>Emisiones evitadas CO2</t>
  </si>
  <si>
    <t>Emisiones evitadas del total</t>
  </si>
  <si>
    <t>Empaque y Fin de Vida / Insumos Operacionales 2021</t>
  </si>
  <si>
    <t>Emisiones Cajas de Cartón con % Fibra Reciclada 2021</t>
  </si>
  <si>
    <t>Caja chica autoarmable sin logo</t>
  </si>
  <si>
    <t>Caja grande sin logo</t>
  </si>
  <si>
    <t>Caja mediana sin logo</t>
  </si>
  <si>
    <t>Caja multiproposito sin logo</t>
  </si>
  <si>
    <t>ton co2</t>
  </si>
  <si>
    <t>Certificados de materialidades bajas en emisiones</t>
  </si>
  <si>
    <t>Proveedor</t>
  </si>
  <si>
    <t>Fecha de emisión</t>
  </si>
  <si>
    <t>Vigencia</t>
  </si>
  <si>
    <t>Fecha de vencimiento</t>
  </si>
  <si>
    <t>CMPC</t>
  </si>
  <si>
    <t>Caja multiproposito</t>
  </si>
  <si>
    <t>6 meses</t>
  </si>
  <si>
    <t>Caja celular sin cuna</t>
  </si>
  <si>
    <t>Caja roja autoarmable</t>
  </si>
  <si>
    <t>CORRUPAC</t>
  </si>
  <si>
    <t>Cajas de cartón onda C</t>
  </si>
  <si>
    <t>12 meses</t>
  </si>
  <si>
    <t>Tipo de material</t>
  </si>
  <si>
    <t>Factor de emisión compra</t>
  </si>
  <si>
    <t>Factor de emisión fin de vida</t>
  </si>
  <si>
    <t>Factor de emisión compra + fin de vida</t>
  </si>
  <si>
    <t>Etiquetas / Cinta</t>
  </si>
  <si>
    <t>ecoinvent v3.6 pp+adhesivo</t>
  </si>
  <si>
    <t>Año</t>
  </si>
  <si>
    <t>Definición</t>
  </si>
  <si>
    <t>Alcance CXP</t>
  </si>
  <si>
    <t>Total indicador</t>
  </si>
  <si>
    <t>301-1</t>
  </si>
  <si>
    <t>Peso o volumen total de los materiales que se utilizan para producir y envasar el
los principales productos y servicios de la organización durante el período del informe, por:</t>
  </si>
  <si>
    <t>Peso total de cajas y sobres de embalajes</t>
  </si>
  <si>
    <t>Sobre / Rollo</t>
  </si>
  <si>
    <t>301-2</t>
  </si>
  <si>
    <t>Porcentaje de materiales de entrada reciclados utilizados para fabricar los productos primarios de la organización. productos y servicios</t>
  </si>
  <si>
    <t>Porcentaje de material reciclado de la suma de toneladas de cajas y sobres</t>
  </si>
  <si>
    <t>Film / Bolsas</t>
  </si>
  <si>
    <t>Sello / Bandeja</t>
  </si>
  <si>
    <t>Cartón reciclado</t>
  </si>
  <si>
    <t>Caja roja</t>
  </si>
  <si>
    <t>Cartón virgen</t>
  </si>
  <si>
    <t>Valijas</t>
  </si>
  <si>
    <t>*se considera como madera, por no estar disponible la fuente de emisión</t>
  </si>
  <si>
    <t>Insumo Operacional/pieza</t>
  </si>
  <si>
    <t>insumos operacionales % Emisiones CO2</t>
  </si>
  <si>
    <t>Bandejas / piezas</t>
  </si>
  <si>
    <t>Bolsa / piezas</t>
  </si>
  <si>
    <t>Cajas / piezas</t>
  </si>
  <si>
    <t>Ventanilla / piezas</t>
  </si>
  <si>
    <t>Fllm / piezas</t>
  </si>
  <si>
    <t>Pallet / Piezas</t>
  </si>
  <si>
    <t>Libretas / piezas</t>
  </si>
  <si>
    <t>Rollos / piezas</t>
  </si>
  <si>
    <t>Sellos / piezas</t>
  </si>
  <si>
    <t>Carpetas / piezas</t>
  </si>
  <si>
    <t>Cinta / Piezas</t>
  </si>
  <si>
    <t>Emmpaque / pieza</t>
  </si>
  <si>
    <t>Total insumos %</t>
  </si>
  <si>
    <t>Embalajes % Emisiones CO2</t>
  </si>
  <si>
    <t>Sobres / piezas</t>
  </si>
  <si>
    <t>Etiquetas / piezas</t>
  </si>
  <si>
    <t>Logo / piezas</t>
  </si>
  <si>
    <t>Cinta / piezas</t>
  </si>
  <si>
    <t>Valija / piezas</t>
  </si>
  <si>
    <t>ton de insumos y empaques utilizados</t>
  </si>
  <si>
    <t>baja de demanda -42% y optimizacion de compras de insumos y empaques</t>
  </si>
  <si>
    <t>ton de empaques</t>
  </si>
  <si>
    <t>baja de ventas de empaques</t>
  </si>
  <si>
    <t>ton de insumos</t>
  </si>
  <si>
    <t>baja de consumo por menor demanda</t>
  </si>
  <si>
    <t>gasto en pesos total</t>
  </si>
  <si>
    <t>baja de demanda -42% , optimizacion de compras de insumos y empaques, con aumento de precio</t>
  </si>
  <si>
    <t>gasto empaques</t>
  </si>
  <si>
    <t>baja de ventas de empaque con aumento de precio</t>
  </si>
  <si>
    <t>gasto insumos</t>
  </si>
  <si>
    <t>baja de consumo y mejora tarifa</t>
  </si>
  <si>
    <t>factor de emisión ponderado (tCO2/ton mat)</t>
  </si>
  <si>
    <t>correccion de sello plastico</t>
  </si>
  <si>
    <t>factor de emision pond empaques (tCO2/ton mat)</t>
  </si>
  <si>
    <t>factor de emision pond insumos (tCO2/ton mat)</t>
  </si>
  <si>
    <t>-33% por corrección del sello plastico a peso unitario y no peso del set de sellos (plastico de los materiales con mayor emision)</t>
  </si>
  <si>
    <t>kg de insumos por pieza</t>
  </si>
  <si>
    <t xml:space="preserve">kg de empaque por pieza </t>
  </si>
  <si>
    <t>kg de material por pieza</t>
  </si>
  <si>
    <t>emisiones totales (ton)</t>
  </si>
  <si>
    <t>emisiones insumos  (ton)</t>
  </si>
  <si>
    <t>emisiones empaques  (ton)</t>
  </si>
  <si>
    <t>emisiones totales / piezas</t>
  </si>
  <si>
    <t>emisiones insumos /piezas</t>
  </si>
  <si>
    <t>emisiones empaques /piezas</t>
  </si>
  <si>
    <t>% material reciclado cajas</t>
  </si>
  <si>
    <t>se mantuvo</t>
  </si>
  <si>
    <t>emisiones evitadas por material reciclado</t>
  </si>
  <si>
    <t>menor compra de materiales</t>
  </si>
  <si>
    <t>Film (top1) emisiones CO2 ton</t>
  </si>
  <si>
    <t>menor compra</t>
  </si>
  <si>
    <t>Bandeja (top2) emisiones CO2 ton</t>
  </si>
  <si>
    <t>Bolsa (top 3) emisiones CO2 ton</t>
  </si>
  <si>
    <t>GESTIÓN DE RESIDUOS</t>
  </si>
  <si>
    <t>Por favor indique los distintos residuos generados en instalaciones y cómo estos fueron gestionados durante el año calendario 2022
A continuación se indican ejemplos de tipo de residuos:</t>
  </si>
  <si>
    <t>Tipos de Respaldos:</t>
  </si>
  <si>
    <t>Certificados de disposición/tratamiento con proveedores, registros de SINADER, SIDREP u otros.</t>
  </si>
  <si>
    <t xml:space="preserve">Para residuos del tipo domiciliario que no se lleve una cuantificación porque son retirados por municipalidad, se puede estimar su generación según la cantidad de trabajadores de cada unidad operativa. </t>
  </si>
  <si>
    <t>Para estimar las distancias al lugar de disposición/tratamiento, utilizar google maps con origen desde la ubicación de la sucursal hasta la dirección del lugar de disposición/tratamiento, si conoce el destino final de tratamiento de residuos. En caso de no contar con la información, dejar en blanco para estimación de Edge.</t>
  </si>
  <si>
    <t>Tipo de residuos</t>
  </si>
  <si>
    <t xml:space="preserve">Material </t>
  </si>
  <si>
    <t>Cantidad generada</t>
  </si>
  <si>
    <t>Tratamiento</t>
  </si>
  <si>
    <t>Enviado a relleno sanitario</t>
  </si>
  <si>
    <t>Lugar de disposición/tratamiento</t>
  </si>
  <si>
    <t>Distancia estimada a lugar de disposición (km)</t>
  </si>
  <si>
    <t>Residuo+Tratamiento</t>
  </si>
  <si>
    <t>Estado de Pago Volta</t>
  </si>
  <si>
    <t>Domiciliario (Volta)</t>
  </si>
  <si>
    <t>Residuos domiciliarios</t>
  </si>
  <si>
    <t>ton</t>
  </si>
  <si>
    <t>Relleno sanitario</t>
  </si>
  <si>
    <t>Domiciliario Estimado</t>
  </si>
  <si>
    <t>Estimado con Dotación 2021</t>
  </si>
  <si>
    <t>diferencia por menor dotacion</t>
  </si>
  <si>
    <t>Reciclaje</t>
  </si>
  <si>
    <t>Dotación 2022</t>
  </si>
  <si>
    <t>diferencia por metodologia (en base a m2 hacia generacion de residuos por persona)</t>
  </si>
  <si>
    <t>Dotación 2021</t>
  </si>
  <si>
    <t>diferencia por menor dotacion y cambio metodologico</t>
  </si>
  <si>
    <t>Pallets de madera</t>
  </si>
  <si>
    <t>Orgánico</t>
  </si>
  <si>
    <t>Compostaje industrial</t>
  </si>
  <si>
    <t>Generación de residuos por jornada laboral</t>
  </si>
  <si>
    <t>kg</t>
  </si>
  <si>
    <t>https://consultasciudadanas.mma.gob.cl/storage/citizen/6301/Estudio%20Proyecci%C3%B3n%20Generaci%C3%B3n%20RSM%20en%20Chile%202020-2040.pdf</t>
  </si>
  <si>
    <t>Cono</t>
  </si>
  <si>
    <t>Chatarra</t>
  </si>
  <si>
    <t>Metal</t>
  </si>
  <si>
    <t>Textiles</t>
  </si>
  <si>
    <t>Poliestireno</t>
  </si>
  <si>
    <t>Neumatico</t>
  </si>
  <si>
    <t>Poliuretano</t>
  </si>
  <si>
    <t>RESPEL</t>
  </si>
  <si>
    <t>Residuos peligrosos</t>
  </si>
  <si>
    <t>Total cantidad generada</t>
  </si>
  <si>
    <t>Total enviado a relleno</t>
  </si>
  <si>
    <t>cantidad recepcionada en Enea (823 registrados -136 estimado= )</t>
  </si>
  <si>
    <t>Tipos Tratamiento</t>
  </si>
  <si>
    <t>kg/pieza</t>
  </si>
  <si>
    <t>tonCO2</t>
  </si>
  <si>
    <t>Compostaje Industrial</t>
  </si>
  <si>
    <t xml:space="preserve">Relleno de seguridad </t>
  </si>
  <si>
    <t>Total de residuos valorizados</t>
  </si>
  <si>
    <t>Cantidad enviada a relleno sanitario</t>
  </si>
  <si>
    <t>Valorización energtica</t>
  </si>
  <si>
    <t>Quema</t>
  </si>
  <si>
    <t>Valorización energetica</t>
  </si>
  <si>
    <t>Residuos generados (ton)</t>
  </si>
  <si>
    <t>-26% por disminución de la demanda (menor compra de materiales) y mejora en recupero de residuos regiones y mejora en gestión de punto limpio Enea (-320) ; y -7% menor cantidad estimada (dotacion) (-84).</t>
  </si>
  <si>
    <t>Residuos generados / pieza (kg/pieza)</t>
  </si>
  <si>
    <t>Baja por menor compra/uso de materiales, sin embargo no es proporcional a la baja en la demanda</t>
  </si>
  <si>
    <t>Residuos enviados a rellenos sanitarios</t>
  </si>
  <si>
    <t>- 33% por disminución de la demanda (menor compra de materiales) y mejora en recupero de residuos regiones y mejora en gestión de punto limpio Enea  (-220) ; y -12% disminución de estimacion (dotación)  (-80) .</t>
  </si>
  <si>
    <t>Menor generación de residuos domiciliarios registrados por volta (35% a 28%) y menor envio de residuos domiciliarios registrados por volta a relleno sanitario (36% al 28%)</t>
  </si>
  <si>
    <t>Residuos enviados a relleno sanitario / pieza (kg/pieza)</t>
  </si>
  <si>
    <t>Disminución de residuos enviados a relleno sanitario por mejora en recuperos y gestion de puntos limpios</t>
  </si>
  <si>
    <t>Emisiones CO2 ton</t>
  </si>
  <si>
    <t>1) Menor compra/uso de materiales por menor demanda, mejora en tasa de valorización (recupero de residuos regiones y gestión de punto limpio Enea)  (-34%)
2) Menor cantidad de colaboradores (-12%)
3) Aumento del factor de emisión ponderado por incorporación de tratamiento de residuos peligrosos (-4%)
4) Aumento tasa de valorización (+9%)</t>
  </si>
  <si>
    <t>Emisiones kgCO2/pieza</t>
  </si>
  <si>
    <t>Disminucion de total de emisiones (-41,6%) no proporcional a disminución de demanda (-42%)</t>
  </si>
  <si>
    <t>Impacto de menor compra/uso de materiales , mejora en tasa de valorizacion y recupero de residuos</t>
  </si>
  <si>
    <t>Australasian database</t>
  </si>
  <si>
    <t>Quema / Valorización energetica</t>
  </si>
  <si>
    <t>Propileno</t>
  </si>
  <si>
    <t>PET</t>
  </si>
  <si>
    <t>PVC</t>
  </si>
  <si>
    <t>Vertedero</t>
  </si>
  <si>
    <t>Aluminio</t>
  </si>
  <si>
    <t>Otros metales</t>
  </si>
  <si>
    <t>Aguas residuales</t>
  </si>
  <si>
    <r>
      <rPr>
        <sz val="12"/>
        <color theme="1"/>
        <rFont val="Calibri"/>
        <family val="2"/>
      </rPr>
      <t xml:space="preserve">Por favor indique la compra de otros insumos (no cuantificados en las otras pestañas) </t>
    </r>
    <r>
      <rPr>
        <b/>
        <sz val="12"/>
        <color theme="1"/>
        <rFont val="Calibri"/>
        <family val="2"/>
      </rPr>
      <t>realizadas sólo durante el año calendario 2022</t>
    </r>
    <r>
      <rPr>
        <sz val="12"/>
        <color theme="1"/>
        <rFont val="Calibri"/>
        <family val="2"/>
      </rPr>
      <t xml:space="preserve">. Completar con información de  insumos necesarios para el funcionamiento de la empresa. Algunos tipos pueden incluir:
- Materiales y equipos de oficina: papel, computadores, etc.
- Artículos de higiene: papel higiénico, jabón, etc.
- Bienes de capital: vehículos, instalaciones, etc.
- Servicios: marketing, servicios financieros, página web,etc.
</t>
    </r>
    <r>
      <rPr>
        <b/>
        <u/>
        <sz val="12"/>
        <color theme="1"/>
        <rFont val="Calibri"/>
        <family val="2"/>
      </rPr>
      <t>Es importante que se incluya al menos el 80% de las compras de bienes y servicios</t>
    </r>
    <r>
      <rPr>
        <sz val="12"/>
        <color theme="1"/>
        <rFont val="Calibri"/>
        <family val="2"/>
      </rPr>
      <t>.</t>
    </r>
    <r>
      <rPr>
        <b/>
        <u/>
        <sz val="12"/>
        <color theme="1"/>
        <rFont val="Calibri"/>
        <family val="2"/>
      </rPr>
      <t xml:space="preserve"> No considerar la compra de vehículos de terceros.</t>
    </r>
  </si>
  <si>
    <t>Gasto en Pesos</t>
  </si>
  <si>
    <t>Gasto en Dolares</t>
  </si>
  <si>
    <t>Maquinaria</t>
  </si>
  <si>
    <t>Computadores</t>
  </si>
  <si>
    <t>Vehículos</t>
  </si>
  <si>
    <t>Instalaciones/construcción</t>
  </si>
  <si>
    <t xml:space="preserve">Muebles de oficina  </t>
  </si>
  <si>
    <t>Equipo Aire y Cámara</t>
  </si>
  <si>
    <t>Bien de capital</t>
  </si>
  <si>
    <t>Equipo Computacional</t>
  </si>
  <si>
    <t>Equipos de Audiovisual</t>
  </si>
  <si>
    <t>Instalación y BN Ajeno</t>
  </si>
  <si>
    <t>Instalación y Remodelación</t>
  </si>
  <si>
    <t>Línea Blanca y electrónica</t>
  </si>
  <si>
    <t>Maquinas y Equipos</t>
  </si>
  <si>
    <t>Mobiliario y Equipo</t>
  </si>
  <si>
    <t>gasto en pesos</t>
  </si>
  <si>
    <t>gasto en dolar</t>
  </si>
  <si>
    <t>factor de emisión ponderado</t>
  </si>
  <si>
    <t>emision co2</t>
  </si>
  <si>
    <t>emision co2 /pieza</t>
  </si>
  <si>
    <t>factores de emision</t>
  </si>
  <si>
    <t>Exiobase</t>
  </si>
  <si>
    <t>Instalaciones/Construcción</t>
  </si>
  <si>
    <t>Muebles de oficina</t>
  </si>
  <si>
    <t>Bien/servicio</t>
  </si>
  <si>
    <t>gasto pesos</t>
  </si>
  <si>
    <t>% gasto pesos</t>
  </si>
  <si>
    <t>Equipos de aire acondicionado</t>
  </si>
  <si>
    <t>Material e instalación CCTV</t>
  </si>
  <si>
    <t>camara CCTV</t>
  </si>
  <si>
    <t>2 Switch POE Video analytics Enea 1</t>
  </si>
  <si>
    <t>Equipo Aire Acondicionado</t>
  </si>
  <si>
    <t>Master BPI en Enea</t>
  </si>
  <si>
    <t>HP ProBook 440 G8 i7-1165 16GB</t>
  </si>
  <si>
    <t>Router Fortinet FG-40F</t>
  </si>
  <si>
    <t>HP ProBook 440 G8 i7-1165</t>
  </si>
  <si>
    <t>HP ProBook 440 G8 i7</t>
  </si>
  <si>
    <t>HP Pro Mini 400 G9 i5-12500T / 8GB</t>
  </si>
  <si>
    <t>Asus ExpertBook B9 Intel Core i7</t>
  </si>
  <si>
    <t>SCANNER</t>
  </si>
  <si>
    <t>Impresora Zebra ZD 420</t>
  </si>
  <si>
    <t>Monitor AOC 21,5</t>
  </si>
  <si>
    <t>PC ThinkCentre M720q Tiny i5</t>
  </si>
  <si>
    <t>PC TOSHIBA MODELO 4810-361</t>
  </si>
  <si>
    <t>IMPRESORA ZEBRA ZD 420T</t>
  </si>
  <si>
    <t>PISTOLA INALAMBRICA ZEBRA DS2278</t>
  </si>
  <si>
    <t>HPProBook440 i7-1165 16GB 500GB SSD</t>
  </si>
  <si>
    <t>IMPRESORA EPSON TM-T88V</t>
  </si>
  <si>
    <t>HPProBook 440 G8 i7-1165 16GB 500GB</t>
  </si>
  <si>
    <t>BALANZA DIGITAL 300 KG</t>
  </si>
  <si>
    <t>implementacion video wall</t>
  </si>
  <si>
    <t>Switch fortinet para sala monitoreo</t>
  </si>
  <si>
    <t>Audio Sala Capacitación Enea</t>
  </si>
  <si>
    <t>Plataforma Fortinet</t>
  </si>
  <si>
    <t>Lector de barra zebra ds2278</t>
  </si>
  <si>
    <t>Lector Datalogic QBT2430</t>
  </si>
  <si>
    <t>HABILITACIÓN CD SAN BERNARDO</t>
  </si>
  <si>
    <t>Implementación Generadores CO-CRU 1</t>
  </si>
  <si>
    <t>CONTRATO MARCO (INMOB MARZO21)</t>
  </si>
  <si>
    <t>REDISEÑO SALA SYPDP</t>
  </si>
  <si>
    <t>Remodelación CD Valdivia</t>
  </si>
  <si>
    <t>Licitación fabricación esclusas CD</t>
  </si>
  <si>
    <t>Licitación fabricación esclusasCD</t>
  </si>
  <si>
    <t>Centros Dropoff y Solo Currier</t>
  </si>
  <si>
    <t>Estandarización Control de Acceso</t>
  </si>
  <si>
    <t>Rediseño Sala Monitoreo</t>
  </si>
  <si>
    <t>Remodelación obras OC Hualpen</t>
  </si>
  <si>
    <t>Construcción cumbreras</t>
  </si>
  <si>
    <t>Remodelacion OC Linares L Bustos</t>
  </si>
  <si>
    <t>Remodelación OC Buenaventura</t>
  </si>
  <si>
    <t>REMOZAMIENTO DE OFICINAS</t>
  </si>
  <si>
    <t>Remodelación sala de seguridad</t>
  </si>
  <si>
    <t>Remodelación OC Carlos Antúnez</t>
  </si>
  <si>
    <t>Remodelación Oficina comercial Cop</t>
  </si>
  <si>
    <t>MEJORAS TERRENO ENEA III</t>
  </si>
  <si>
    <t>Trabajos CD Valdivia</t>
  </si>
  <si>
    <t>FRENTE MARCO ALUMINIOPLATA</t>
  </si>
  <si>
    <t>Remodelación Buenaventura</t>
  </si>
  <si>
    <t>Proyecto de Eficiencia MO RM</t>
  </si>
  <si>
    <t>SEGURIDAD PERIMETRAL</t>
  </si>
  <si>
    <t>Obras CD Hualpen</t>
  </si>
  <si>
    <t>Habilitación CO Buenaventura</t>
  </si>
  <si>
    <t>Iluminación LED - ENEA</t>
  </si>
  <si>
    <t>Integración Sorter de Enea</t>
  </si>
  <si>
    <t>Ampliacion Buenaventura</t>
  </si>
  <si>
    <t>PORTAL EMPRENDEDORES</t>
  </si>
  <si>
    <t>INCORPORACIÓN DE PLUGIN SHOPIFY</t>
  </si>
  <si>
    <t>Remodelaciones CD Valdivia</t>
  </si>
  <si>
    <t>PUERTAS DE EMERGENCIA ENEA</t>
  </si>
  <si>
    <t>Cierre Andenes</t>
  </si>
  <si>
    <t>Remodelaciones CD Punta Arenas</t>
  </si>
  <si>
    <t>Obras climatización OC Mall Curico</t>
  </si>
  <si>
    <t>Remodelación OC Hualpén</t>
  </si>
  <si>
    <t>Mejoramiento Minisorter</t>
  </si>
  <si>
    <t>Letrero de fachada OC Curico mall</t>
  </si>
  <si>
    <t>instalación puntos de red CD Temuco</t>
  </si>
  <si>
    <t>Seguridad pagos (host to host)</t>
  </si>
  <si>
    <t>trabajos del Master BPI</t>
  </si>
  <si>
    <t>Remodelación OC Carlos Antunez</t>
  </si>
  <si>
    <t>Instalacion cctv Las Condes</t>
  </si>
  <si>
    <t>REQ-2021 Macroproceso Tesorería</t>
  </si>
  <si>
    <t>Letrero Caja Luz</t>
  </si>
  <si>
    <t>OBRAS RED INCENDIO OC MALL CURICO</t>
  </si>
  <si>
    <t>Remodelaciones OC - RM</t>
  </si>
  <si>
    <t>Remodelacion Curico mall</t>
  </si>
  <si>
    <t>Adicionales de San Bernardo</t>
  </si>
  <si>
    <t>Remodelación OC Abate Molina</t>
  </si>
  <si>
    <t>Configuración equipos implementados</t>
  </si>
  <si>
    <t>Instalacion de camaras</t>
  </si>
  <si>
    <t>Remodelacion OC Buenaventura</t>
  </si>
  <si>
    <t>Frente marco de aluminio</t>
  </si>
  <si>
    <t>Remodelacion Linares</t>
  </si>
  <si>
    <t>Obras Civiles Varias - Regiones</t>
  </si>
  <si>
    <t>AUTOMATIZACIÓN PORTÓN ACCESO CD OSORNO</t>
  </si>
  <si>
    <t>Frente marco de aluminio color plata 1m</t>
  </si>
  <si>
    <t>SDR-REQ-2021-164-Gestión de Piezas</t>
  </si>
  <si>
    <t>WMS Bodega Rezagos RM</t>
  </si>
  <si>
    <t>(526553) SERVICIO DE REPARACION</t>
  </si>
  <si>
    <t>Lector Datalogic</t>
  </si>
  <si>
    <t>inst alarmas y CCTV Curico Alamen</t>
  </si>
  <si>
    <t>Remodelaciones 1° Semestre</t>
  </si>
  <si>
    <t>OBRAS CIVILES</t>
  </si>
  <si>
    <t>Remodelacion Curico Alameda</t>
  </si>
  <si>
    <t>Repuest habilitacion CD S BERNARDO</t>
  </si>
  <si>
    <t>Equip. Operacional Varios Regiones 2021</t>
  </si>
  <si>
    <t>REPARACION PORTONES SECCIONALES</t>
  </si>
  <si>
    <t>Punto de red Macul</t>
  </si>
  <si>
    <t>Remodelaciones Oficinas 2</t>
  </si>
  <si>
    <t>CD Valdivia</t>
  </si>
  <si>
    <t>MODIFICACIÓN ANDENES ENEA I</t>
  </si>
  <si>
    <t>Reposiciones Varias - Regiones 2021</t>
  </si>
  <si>
    <t>MICROONDAS INDUSTRIAL</t>
  </si>
  <si>
    <t>REFRIGERADOR MIDEA 260 lts</t>
  </si>
  <si>
    <t>GENERADORES ELECTRICOS CHILEXPRESS</t>
  </si>
  <si>
    <t>CONTENEDOR APILABLE 175 CANT</t>
  </si>
  <si>
    <t>PROYECTO MIGRACION SORTER FACT 41524821 VENDOR 200</t>
  </si>
  <si>
    <t>EXTENSION CAPACIDAD ENEA 4 FACT 6320 VENDOR 101091</t>
  </si>
  <si>
    <t>EXTENSION CAPACIDAD ENEA 4 FACT 6321 VENDOR 101091</t>
  </si>
  <si>
    <t>EXTENSION CAPACIDAD ENEA fa</t>
  </si>
  <si>
    <t>EXTENSION CAPACIDAD ENEA fact 41523634 vendor 2000</t>
  </si>
  <si>
    <t>Repuestos Sorter</t>
  </si>
  <si>
    <t>REPUESTOS SORTER FACT 41527461/41526973/41524282 V</t>
  </si>
  <si>
    <t>MANTENCION SORTER FACTURA 6429 VENDOR 101091</t>
  </si>
  <si>
    <t>Celula GeoPOS 15ene-15feb</t>
  </si>
  <si>
    <t>INCORPORACIÓN DE JAULAS EN OC</t>
  </si>
  <si>
    <t>PLATAFORMA DE LEVANTE</t>
  </si>
  <si>
    <t>Compra de Proyector para CD</t>
  </si>
  <si>
    <t>BALANZA PLATAFORMA 3.000 KG</t>
  </si>
  <si>
    <t>Jaula Encomienda Oficina Comercial</t>
  </si>
  <si>
    <t>TRANSPORTADOREXTENSIBLE MOTORIZADO</t>
  </si>
  <si>
    <t>Producto SDD</t>
  </si>
  <si>
    <t>DESARROLLO PORTAL EMPRESA</t>
  </si>
  <si>
    <t>SDD</t>
  </si>
  <si>
    <t>PISTOLA DATALOGIC POWER SCAN PM9501</t>
  </si>
  <si>
    <t>CARRO DE ALUMINIO TIPO YEGUA 80KG</t>
  </si>
  <si>
    <t>CAMBIO PLATAFORMAS DE LEVANTE</t>
  </si>
  <si>
    <t>REEMPLAZO DE PLATAFORMAS DE CAMIÓN</t>
  </si>
  <si>
    <t>TRANSPALETAMANUAL2.5 TON HIDRAULICA</t>
  </si>
  <si>
    <t>Fortinet 100F</t>
  </si>
  <si>
    <t>CARRO ACERO TIPO YEGUA 200 KG</t>
  </si>
  <si>
    <t>Jaula Encomienda</t>
  </si>
  <si>
    <t>BASE INALAMBRICA DATALOGIC</t>
  </si>
  <si>
    <t>Remodelación OC Curico mall</t>
  </si>
  <si>
    <t>Arco detector de metales</t>
  </si>
  <si>
    <t>CARGADOR DATALOGIC BAT PISTOLA</t>
  </si>
  <si>
    <t>Jaula Clasificación con Separación</t>
  </si>
  <si>
    <t>Mejora PickUP</t>
  </si>
  <si>
    <t>ESTACION DE RECEPCION</t>
  </si>
  <si>
    <t>REPOSICIÓN BALANCEADORES</t>
  </si>
  <si>
    <t>BATERIA PARA PISTOLA DATALOGIC</t>
  </si>
  <si>
    <t>Jaulas Compax</t>
  </si>
  <si>
    <t>Paleta Garret detectora de metales</t>
  </si>
  <si>
    <t>Protección RACK CD San Bernardo</t>
  </si>
  <si>
    <t>SILLA CAJERO ALTA</t>
  </si>
  <si>
    <t>Mueble de caja (POS)</t>
  </si>
  <si>
    <t>Mueble de caja</t>
  </si>
  <si>
    <t>SILLA SILLA SECRETARIA S/BRAZO</t>
  </si>
  <si>
    <t>Mueble accesibilidad universal</t>
  </si>
  <si>
    <t>MESON AUTOATENCION CON PAPELERO</t>
  </si>
  <si>
    <t>Mobiliario OC Linares L Bustos</t>
  </si>
  <si>
    <t>Silla cajero</t>
  </si>
  <si>
    <t>Mueble RP (Recepcion de piezas)</t>
  </si>
  <si>
    <t>Mueble Clasificador</t>
  </si>
  <si>
    <t>Soporte Video Wall</t>
  </si>
  <si>
    <t>SILLA DE VISITA</t>
  </si>
  <si>
    <t>Mesón autoatención</t>
  </si>
  <si>
    <t>Silla secretaria</t>
  </si>
  <si>
    <t>Mueble RP</t>
  </si>
  <si>
    <t>Mueble area back office</t>
  </si>
  <si>
    <t>Silla cajero, ecocuero negro, con riñone</t>
  </si>
  <si>
    <t>SILLA SUBGERENTE</t>
  </si>
  <si>
    <t>(526553) SERVICIO DE REPARACION OFICINAS</t>
  </si>
  <si>
    <t>Mueble de caja (POS), 80x70x1m de alto</t>
  </si>
  <si>
    <t>MUEBLE AREA Y POS DE APOYO</t>
  </si>
  <si>
    <t>Mesón autoatención con papelero en acero</t>
  </si>
  <si>
    <t>Soportes de fierro</t>
  </si>
  <si>
    <t>Escritorio Administrativo</t>
  </si>
  <si>
    <t>RACK SALA DE MONITORES</t>
  </si>
  <si>
    <t>Mueble accesibilidad universal (ACC), de</t>
  </si>
  <si>
    <t>Mueble caja fuerte</t>
  </si>
  <si>
    <t>MUEBLE PARA CAJA FUERTE</t>
  </si>
  <si>
    <t>Banqueta espera 3 cpos</t>
  </si>
  <si>
    <t>Silla con respaldo</t>
  </si>
  <si>
    <t>BALANZA PESADORA</t>
  </si>
  <si>
    <t>Mueble panal</t>
  </si>
  <si>
    <t>Banqueta espera 3 cpos, PP AZUL, estruct</t>
  </si>
  <si>
    <t>Mesón Clasificador</t>
  </si>
  <si>
    <t>MESON AUTOATENCION</t>
  </si>
  <si>
    <t>Silla cajero, ecocuero negro</t>
  </si>
  <si>
    <t>Basurero</t>
  </si>
  <si>
    <t>MUEBLE RECEPCION DE PIEZAS</t>
  </si>
  <si>
    <t>Mueble RP (Recepcion de piezas) 80x75x80</t>
  </si>
  <si>
    <t>mesa conteo de dinero</t>
  </si>
  <si>
    <t>SILLA PARA SALA DE REUNIONES</t>
  </si>
  <si>
    <t>MUEBLE AREA POS DE APOYO BACKOFFICE</t>
  </si>
  <si>
    <t>Silla Teletrabajo (Kleber)</t>
  </si>
  <si>
    <t>SOPORTES DE FIERRO PANTALLAS DE PC</t>
  </si>
  <si>
    <t>Configuración Driv.In Retiro Pickup</t>
  </si>
  <si>
    <t>USO DE REFRIGERANTES (EMISIONES FUGITIVAS)</t>
  </si>
  <si>
    <t>CONTENIDOS</t>
  </si>
  <si>
    <t>Si es que aplicara, por favor llene la siguiente información sobre el uso de refrigerantes en sus instalaciones durante el año calendario 2021.</t>
  </si>
  <si>
    <t xml:space="preserve">Facturas, registros internos de compra, respaldos de SAP u otros. </t>
  </si>
  <si>
    <t xml:space="preserve">Revisar facturas de servicios de mantenimiento donde se indica normalmente la cantidad y tipo de gas refrigerante recargado. Der ser necesario consultar a proveedores del servicio de mantención. </t>
  </si>
  <si>
    <t>Si no se puede recopilar la información para todas las instalaciones, hacer un muestreo indicando tamaño de la muestra y zona para su extrapolación.</t>
  </si>
  <si>
    <t>Gases refrigerantes</t>
  </si>
  <si>
    <t>Gas refrigerante utilizado</t>
  </si>
  <si>
    <t>Cantidad recargada</t>
  </si>
  <si>
    <t>Enea 4</t>
  </si>
  <si>
    <t>Metropolitana de Santiago</t>
  </si>
  <si>
    <t>Centro</t>
  </si>
  <si>
    <t>R410A</t>
  </si>
  <si>
    <t>HCFC-22/R22</t>
  </si>
  <si>
    <t>San Miguel</t>
  </si>
  <si>
    <t>Chicureo</t>
  </si>
  <si>
    <t>Cr Macul</t>
  </si>
  <si>
    <t>Enea 1</t>
  </si>
  <si>
    <t>Brasil</t>
  </si>
  <si>
    <t>Bodega</t>
  </si>
  <si>
    <t>Los Maitenes</t>
  </si>
  <si>
    <t>a que corresponde?</t>
  </si>
  <si>
    <t>Regiones</t>
  </si>
  <si>
    <t>Coquimbo</t>
  </si>
  <si>
    <t>Ñuble</t>
  </si>
  <si>
    <t>Los Lagos</t>
  </si>
  <si>
    <t>Tipo de gas</t>
  </si>
  <si>
    <t>R410A (kg)</t>
  </si>
  <si>
    <t>HCFC-22/R22 (kg)</t>
  </si>
  <si>
    <t>Recarga de gases en CE?</t>
  </si>
  <si>
    <t>% de registros del total?</t>
  </si>
  <si>
    <t>Defra: http://www.ukconversionfactorscarbonsmart.co.uk/LandingPage.aspx</t>
  </si>
  <si>
    <t>tiempo de recarga de aire acondicionado? para que haya recarga tiene que haber fuga</t>
  </si>
  <si>
    <t>VIAJES DE NEGOCIO</t>
  </si>
  <si>
    <t xml:space="preserve">Por favor llene la siguiente información sobre los viajes de negocio durante el año calendario 2021.
</t>
  </si>
  <si>
    <t>Promedio USD</t>
  </si>
  <si>
    <t>Facturas, registros internos de gastos, SAP u otros.</t>
  </si>
  <si>
    <t>Prefiera datos del tipo km recorridos y total de pasajeros. En caso de no contar con esta información, indicar gasto en pesos chilenos por tipo de transporte.</t>
  </si>
  <si>
    <t>Viajes de negocio 2021</t>
  </si>
  <si>
    <t>Tipo de transporte</t>
  </si>
  <si>
    <t>Motivo / Destino</t>
  </si>
  <si>
    <t>km recorridos</t>
  </si>
  <si>
    <t>Gasto en pesos chilenos</t>
  </si>
  <si>
    <r>
      <rPr>
        <sz val="11"/>
        <color theme="1"/>
        <rFont val="Arial"/>
        <family val="2"/>
      </rPr>
      <t xml:space="preserve">Km recorridos </t>
    </r>
    <r>
      <rPr>
        <b/>
        <u/>
        <sz val="11"/>
        <color theme="1"/>
        <rFont val="Arial"/>
        <family val="2"/>
      </rPr>
      <t>totales</t>
    </r>
    <r>
      <rPr>
        <sz val="11"/>
        <color theme="1"/>
        <rFont val="Arial"/>
        <family val="2"/>
      </rPr>
      <t xml:space="preserve"> </t>
    </r>
  </si>
  <si>
    <t>Viaje aéreos</t>
  </si>
  <si>
    <t>Viajes aéreos</t>
  </si>
  <si>
    <t>GASTOS DE VIAJES</t>
  </si>
  <si>
    <t>OPERACIONES</t>
  </si>
  <si>
    <t>Hospedaje</t>
  </si>
  <si>
    <t>Antofagasta</t>
  </si>
  <si>
    <t>PASAJES Y MOVILIZACION</t>
  </si>
  <si>
    <t>Arica</t>
  </si>
  <si>
    <t>FINANZAS</t>
  </si>
  <si>
    <t>Calama</t>
  </si>
  <si>
    <t>INTERNACIONAL</t>
  </si>
  <si>
    <t>Chillán</t>
  </si>
  <si>
    <t>TI</t>
  </si>
  <si>
    <t>Concepción</t>
  </si>
  <si>
    <t>INGENIERIA Y DESARROLLO</t>
  </si>
  <si>
    <t>Copiapó</t>
  </si>
  <si>
    <t>ASUNTOS CORPORATIVOS</t>
  </si>
  <si>
    <t>Coyhaique</t>
  </si>
  <si>
    <t>COMERCIAL</t>
  </si>
  <si>
    <t>Curicó</t>
  </si>
  <si>
    <t>PERSONAS</t>
  </si>
  <si>
    <t>Iquique</t>
  </si>
  <si>
    <t>La Serena</t>
  </si>
  <si>
    <t>Los Ángeles</t>
  </si>
  <si>
    <t>Providencia</t>
  </si>
  <si>
    <t>Puerto Montt</t>
  </si>
  <si>
    <t>GERENCIA GENERAL</t>
  </si>
  <si>
    <t>Puerto Varas</t>
  </si>
  <si>
    <t>Punta Arenas</t>
  </si>
  <si>
    <t>Rancagua</t>
  </si>
  <si>
    <t>San Fernando</t>
  </si>
  <si>
    <t>Santiago</t>
  </si>
  <si>
    <t>Talca</t>
  </si>
  <si>
    <t>Temuco</t>
  </si>
  <si>
    <t>Valdivia</t>
  </si>
  <si>
    <t>Viña del Mar</t>
  </si>
  <si>
    <t>(en blanco)</t>
  </si>
  <si>
    <t>Variación % entre montos 2022 y 2021</t>
  </si>
  <si>
    <t>FUENTES FIJAS: COMBUSTIBLES UTILIZADOS</t>
  </si>
  <si>
    <t>Por favor llene la siguiente información sobre el consumo de combustibles de todas sus fuentes fijas para las instalaciones identificadas en la pestaña "Administrativo" durante el año calendario 2021. Indique si se trata de equipos propios o externos (arrendados).</t>
  </si>
  <si>
    <t>Facturas, registros internos de compra, respaldos de SAP u otros.</t>
  </si>
  <si>
    <t>Para el caso de biomasa como combustible, si no se cuenta con el consumo de todas las unidades, indicar el consumo anual de al menos una sucursal y número total de sucursales con el mismo sistema para extrapolar.</t>
  </si>
  <si>
    <t>Fuentes fijas</t>
  </si>
  <si>
    <t>Tipo de fuente fija</t>
  </si>
  <si>
    <t>Generadores ENEA</t>
  </si>
  <si>
    <t>Pudahuel</t>
  </si>
  <si>
    <t>Generadores</t>
  </si>
  <si>
    <t>Generador Huech</t>
  </si>
  <si>
    <t>CD La coipa</t>
  </si>
  <si>
    <t>Atacama</t>
  </si>
  <si>
    <t>La Coipa</t>
  </si>
  <si>
    <t>CD Copiapo</t>
  </si>
  <si>
    <t>Copiapo</t>
  </si>
  <si>
    <t>CD Tepual</t>
  </si>
  <si>
    <t>Tepual</t>
  </si>
  <si>
    <t>CD Curauma</t>
  </si>
  <si>
    <t>Valparaíso</t>
  </si>
  <si>
    <t>Curauma</t>
  </si>
  <si>
    <t>CD Rancagua</t>
  </si>
  <si>
    <t>O Higgins</t>
  </si>
  <si>
    <t>CD Talca</t>
  </si>
  <si>
    <t>Maule</t>
  </si>
  <si>
    <t>CD Chillan</t>
  </si>
  <si>
    <t>Chillan</t>
  </si>
  <si>
    <t>CD Hualpen</t>
  </si>
  <si>
    <t>Bio Bio</t>
  </si>
  <si>
    <t>Hualpen</t>
  </si>
  <si>
    <t>CD Los angeles</t>
  </si>
  <si>
    <t>Los Angeles</t>
  </si>
  <si>
    <t>CD Temuco</t>
  </si>
  <si>
    <t>La Araucania</t>
  </si>
  <si>
    <t>CD Osorno</t>
  </si>
  <si>
    <t>Osorno</t>
  </si>
  <si>
    <t>CD Quillota</t>
  </si>
  <si>
    <t>CD Curico</t>
  </si>
  <si>
    <t>Curico</t>
  </si>
  <si>
    <t>CD San bernardo</t>
  </si>
  <si>
    <t>San Bernardo</t>
  </si>
  <si>
    <t>OSORNO (casino)</t>
  </si>
  <si>
    <t>Calefacción</t>
  </si>
  <si>
    <t>OC</t>
  </si>
  <si>
    <t>OC CASTRO</t>
  </si>
  <si>
    <t>Castro</t>
  </si>
  <si>
    <t>CO ANCUD</t>
  </si>
  <si>
    <t>Ancud</t>
  </si>
  <si>
    <t>COYHAIQUE Bilbao</t>
  </si>
  <si>
    <t>Aysén</t>
  </si>
  <si>
    <t>COYHAIQUE 21 Mayo</t>
  </si>
  <si>
    <t>PUNTA ARENAS MEJICANA</t>
  </si>
  <si>
    <t>Magallanes</t>
  </si>
  <si>
    <t>Consumo</t>
  </si>
  <si>
    <t>Gas</t>
  </si>
  <si>
    <t>TRANSPORTE EMPAQUE E INSUMOS</t>
  </si>
  <si>
    <t xml:space="preserve">Por favor llene la siguiente información sobre el transporte de sus empaques e insumos hacia las distintas sucursales de Chilexpress durante el año calendario 2021.
</t>
  </si>
  <si>
    <r>
      <rPr>
        <b/>
        <sz val="12"/>
        <color theme="1"/>
        <rFont val="Calibri"/>
        <family val="2"/>
      </rPr>
      <t>Priorice información del tipo gastos por concepto de flete</t>
    </r>
    <r>
      <rPr>
        <sz val="12"/>
        <color theme="1"/>
        <rFont val="Calibri"/>
        <family val="2"/>
      </rPr>
      <t>. Si algún ítem es relevante, se solicitará mejorar esta información en base a las toneladas transportadas</t>
    </r>
  </si>
  <si>
    <t>y distancia recorrida desde origen.</t>
  </si>
  <si>
    <t>Transporte de insumos</t>
  </si>
  <si>
    <t>Insumo adquirido</t>
  </si>
  <si>
    <t>Origen (locación producción del insumo)</t>
  </si>
  <si>
    <t>Distancia recorrida (km 2021)</t>
  </si>
  <si>
    <t>Destino (locación)</t>
  </si>
  <si>
    <t>Peso transportado</t>
  </si>
  <si>
    <t>Wenco</t>
  </si>
  <si>
    <t>Av. Los Libertadores 29 Colina, Complejo Industrial Los Libertadores.</t>
  </si>
  <si>
    <t>Camión (genérico)</t>
  </si>
  <si>
    <t>J.J. Perez 1376, Pudahuel, Región Metropolitana</t>
  </si>
  <si>
    <t>Bandejas</t>
  </si>
  <si>
    <t>Perven</t>
  </si>
  <si>
    <t>Los Angeles, parcela 20, Batuco, Lampa, Región Metropolitana</t>
  </si>
  <si>
    <t>Marca temporal</t>
  </si>
  <si>
    <t>Indique su nombre y apellido:</t>
  </si>
  <si>
    <t>Indique su RUT (Sin puntos y con guión. Ejemplo: 11111111-1)</t>
  </si>
  <si>
    <t>Indique si es colaborador propio o externo:</t>
  </si>
  <si>
    <t>Considerando su modalidad de trabajo durante la pandemia, le solicitamos que nos pueda indicar el porcentaje de tiempo estimado que realizó teletrabajo o trabajo presencial durante 2021:</t>
  </si>
  <si>
    <t>Factor teletrabajo</t>
  </si>
  <si>
    <t>¿Qué método de transporte utilizó recurrentemente durante 2021 para llegar a su trabajo?</t>
  </si>
  <si>
    <t>km recorridos diarios</t>
  </si>
  <si>
    <t>Km al año</t>
  </si>
  <si>
    <t>Donna Barrera</t>
  </si>
  <si>
    <t>Colaborador propio</t>
  </si>
  <si>
    <t>Vehículo - Uso individual</t>
  </si>
  <si>
    <t>cesar seguel</t>
  </si>
  <si>
    <t>18211176-7</t>
  </si>
  <si>
    <t>25% teletrabajo</t>
  </si>
  <si>
    <t xml:space="preserve">Patricio Vargas </t>
  </si>
  <si>
    <t>15003048-k</t>
  </si>
  <si>
    <t>Massiel Bustamante</t>
  </si>
  <si>
    <t>16630225-0</t>
  </si>
  <si>
    <t>100% teletrabajo</t>
  </si>
  <si>
    <t>25% teletrbajo</t>
  </si>
  <si>
    <t>Mauricio Pincheira</t>
  </si>
  <si>
    <t>16645403-4</t>
  </si>
  <si>
    <t>Transporte público</t>
  </si>
  <si>
    <t>75% teletrabajo</t>
  </si>
  <si>
    <t>Daisy Alarcon</t>
  </si>
  <si>
    <t>14587739-3</t>
  </si>
  <si>
    <t>Lucas Martínez Valenzuela</t>
  </si>
  <si>
    <t>Antonieta Leiva</t>
  </si>
  <si>
    <t>17671489-1</t>
  </si>
  <si>
    <t>Paloma Latorre</t>
  </si>
  <si>
    <t>15782292-6</t>
  </si>
  <si>
    <t>Esteban Sepúlveda</t>
  </si>
  <si>
    <t>16329286-6</t>
  </si>
  <si>
    <t>Vehículo uso individual</t>
  </si>
  <si>
    <t>Daniela Latorre</t>
  </si>
  <si>
    <t>14153030-5</t>
  </si>
  <si>
    <t>Vehículo uso compartido</t>
  </si>
  <si>
    <t>Claudio Díaz Peña</t>
  </si>
  <si>
    <t>15651764-K</t>
  </si>
  <si>
    <t>Daniel Escobillana</t>
  </si>
  <si>
    <t>16557197-5</t>
  </si>
  <si>
    <t>Bicicleta o caminando</t>
  </si>
  <si>
    <t>Ernesto Echegoyen</t>
  </si>
  <si>
    <t>26928296-7</t>
  </si>
  <si>
    <t>Evelyn Ortega</t>
  </si>
  <si>
    <t>15896418-k</t>
  </si>
  <si>
    <t>Nicole Marty</t>
  </si>
  <si>
    <t>17745419-2</t>
  </si>
  <si>
    <t>luis picart</t>
  </si>
  <si>
    <t>14147136-8</t>
  </si>
  <si>
    <t>km</t>
  </si>
  <si>
    <t>maria jose san martin orue</t>
  </si>
  <si>
    <t>18549028-9</t>
  </si>
  <si>
    <t>Vehículo - Uso compartido</t>
  </si>
  <si>
    <t>Jesus Melo</t>
  </si>
  <si>
    <t>18422678-2</t>
  </si>
  <si>
    <t>Johana Insignares</t>
  </si>
  <si>
    <t>26168495-0</t>
  </si>
  <si>
    <t>Elisa García</t>
  </si>
  <si>
    <t>19058289-2</t>
  </si>
  <si>
    <t>Richard Monasterio</t>
  </si>
  <si>
    <t>14141624-3</t>
  </si>
  <si>
    <t>Nidia Sepúlveda</t>
  </si>
  <si>
    <t>17339887-5</t>
  </si>
  <si>
    <t>Francisca Fuentes</t>
  </si>
  <si>
    <t>Valeria Cortez</t>
  </si>
  <si>
    <t>16192015-0</t>
  </si>
  <si>
    <t>Eliseo Caneo</t>
  </si>
  <si>
    <t>17728128-k</t>
  </si>
  <si>
    <t xml:space="preserve">YULIDE LOBO </t>
  </si>
  <si>
    <t>26524740-7</t>
  </si>
  <si>
    <t>valeska beltran</t>
  </si>
  <si>
    <t>13373196-2</t>
  </si>
  <si>
    <t>Byron Montiel</t>
  </si>
  <si>
    <t>18663871-9</t>
  </si>
  <si>
    <t>Alejandro Valdes</t>
  </si>
  <si>
    <t>13280209-2</t>
  </si>
  <si>
    <t xml:space="preserve">Adolfo Cataldo </t>
  </si>
  <si>
    <t>12226382-7</t>
  </si>
  <si>
    <t>Gonzalo Leal</t>
  </si>
  <si>
    <t>15374969-8</t>
  </si>
  <si>
    <t>Mauricio Reyes</t>
  </si>
  <si>
    <t>12471121-5</t>
  </si>
  <si>
    <t>Catalina Palma</t>
  </si>
  <si>
    <t>18605759-7</t>
  </si>
  <si>
    <t>oscar fernando cuspian alvarez</t>
  </si>
  <si>
    <t>26048985-2</t>
  </si>
  <si>
    <t>Vania Quezada</t>
  </si>
  <si>
    <t>17729039-4</t>
  </si>
  <si>
    <t>CLAUDIO RODRIGO GUTIERREZ ARAYA</t>
  </si>
  <si>
    <t>Karla Bravo</t>
  </si>
  <si>
    <t>19318632-7</t>
  </si>
  <si>
    <t>Ariel Borquez</t>
  </si>
  <si>
    <t>17056576-2</t>
  </si>
  <si>
    <t>Daniel Marín</t>
  </si>
  <si>
    <t>26087095-5</t>
  </si>
  <si>
    <t>Ricardo Quintero</t>
  </si>
  <si>
    <t>25479495-3</t>
  </si>
  <si>
    <t>Christian Gaete</t>
  </si>
  <si>
    <t>17429649-9</t>
  </si>
  <si>
    <t>Elena Fuentes</t>
  </si>
  <si>
    <t>14256091-7</t>
  </si>
  <si>
    <t xml:space="preserve">maria jose epifanio arismendi </t>
  </si>
  <si>
    <t>19181545-9</t>
  </si>
  <si>
    <t xml:space="preserve">Anrohe Astudillo </t>
  </si>
  <si>
    <t>18701876-5</t>
  </si>
  <si>
    <t>Cesar Blanco</t>
  </si>
  <si>
    <t>15721349-0</t>
  </si>
  <si>
    <t>María Fernanda González</t>
  </si>
  <si>
    <t>25982783-3</t>
  </si>
  <si>
    <t>Claudia Alvarez Parra</t>
  </si>
  <si>
    <t>13286690-2</t>
  </si>
  <si>
    <t>Mabel Morales</t>
  </si>
  <si>
    <t>18079134-5</t>
  </si>
  <si>
    <t>Leonard Santander</t>
  </si>
  <si>
    <t>18626006-6</t>
  </si>
  <si>
    <t>German Arena</t>
  </si>
  <si>
    <t>12660628-1</t>
  </si>
  <si>
    <t>Everson Miquilena</t>
  </si>
  <si>
    <t>25565344-k</t>
  </si>
  <si>
    <t xml:space="preserve">Constanza Bazán </t>
  </si>
  <si>
    <t>17449085-6</t>
  </si>
  <si>
    <t>Androniky Serezlis</t>
  </si>
  <si>
    <t>27197745-k</t>
  </si>
  <si>
    <t>Colaborador externo</t>
  </si>
  <si>
    <t>VIVIANA ARIAS TORRES</t>
  </si>
  <si>
    <t>13960305-2</t>
  </si>
  <si>
    <t>Leonardo Quintulen</t>
  </si>
  <si>
    <t>18609515-4</t>
  </si>
  <si>
    <t>Freddy Alcaino</t>
  </si>
  <si>
    <t>17304486-0</t>
  </si>
  <si>
    <t>Matías Gómez</t>
  </si>
  <si>
    <t>18156859-3</t>
  </si>
  <si>
    <t>Héctor Alfaro Muñoz</t>
  </si>
  <si>
    <t>18661355-4</t>
  </si>
  <si>
    <t>José Ortega Cifuentes</t>
  </si>
  <si>
    <t>13034117-9</t>
  </si>
  <si>
    <t>Jonathan Jaimes</t>
  </si>
  <si>
    <t>23853470-4</t>
  </si>
  <si>
    <t>MARIA CRISTINA BELMAR</t>
  </si>
  <si>
    <t>9742041-6</t>
  </si>
  <si>
    <t>Julio Osses</t>
  </si>
  <si>
    <t>13156890-8</t>
  </si>
  <si>
    <t>Daniela Lepin</t>
  </si>
  <si>
    <t>17225545-0</t>
  </si>
  <si>
    <t>Claudio Muñoz R.</t>
  </si>
  <si>
    <t>12471802-3</t>
  </si>
  <si>
    <t>Marcos Aguilar</t>
  </si>
  <si>
    <t>14576561-7</t>
  </si>
  <si>
    <t xml:space="preserve">Luisfelipe Àlvarez </t>
  </si>
  <si>
    <t>19164955-9</t>
  </si>
  <si>
    <t>Luis Cáceres</t>
  </si>
  <si>
    <t>14287414-8</t>
  </si>
  <si>
    <t>LUIS QUIROGA GOMEZ</t>
  </si>
  <si>
    <t>12412269-4</t>
  </si>
  <si>
    <t>Oscar Godoy</t>
  </si>
  <si>
    <t>17517187-8</t>
  </si>
  <si>
    <t>Orietta Araya</t>
  </si>
  <si>
    <t>13426622-8</t>
  </si>
  <si>
    <t>Gustavo Castillo Araya</t>
  </si>
  <si>
    <t>16307280-7</t>
  </si>
  <si>
    <t>Fabrizio Encina</t>
  </si>
  <si>
    <t>14016928-5</t>
  </si>
  <si>
    <t>GILDA SANTIBAÑEZ</t>
  </si>
  <si>
    <t>13997796-3</t>
  </si>
  <si>
    <t>Mauricio Diaz Espindola</t>
  </si>
  <si>
    <t>10830598-3</t>
  </si>
  <si>
    <t>Mauricio Urra</t>
  </si>
  <si>
    <t>18798553-6</t>
  </si>
  <si>
    <t>Guillermo lagos garrido</t>
  </si>
  <si>
    <t>14028622-2</t>
  </si>
  <si>
    <t>Wilfredo Garcia Freire</t>
  </si>
  <si>
    <t>11322454-1</t>
  </si>
  <si>
    <t>Joaquín Foppiano</t>
  </si>
  <si>
    <t>16208119-5</t>
  </si>
  <si>
    <t>claudio torres</t>
  </si>
  <si>
    <t>11604432-3</t>
  </si>
  <si>
    <t>15788299-6</t>
  </si>
  <si>
    <t>Gabriel Espinoza</t>
  </si>
  <si>
    <t>16408478-7</t>
  </si>
  <si>
    <t>Daniela Órdenes Apablaza</t>
  </si>
  <si>
    <t>15081210-1</t>
  </si>
  <si>
    <t xml:space="preserve">José Jones </t>
  </si>
  <si>
    <t>12683848-4</t>
  </si>
  <si>
    <t>Israel Labarca Jorquera</t>
  </si>
  <si>
    <t>15939460-3</t>
  </si>
  <si>
    <t>Esteban Leiva</t>
  </si>
  <si>
    <t>18538372-5</t>
  </si>
  <si>
    <t>tommy niño</t>
  </si>
  <si>
    <t>25599855-2</t>
  </si>
  <si>
    <t>NORMA CORVALAN</t>
  </si>
  <si>
    <t>9832040-7</t>
  </si>
  <si>
    <t>Sebastian Bedoya Uribe</t>
  </si>
  <si>
    <t>25418435-7</t>
  </si>
  <si>
    <t>ALIONCHKA HINOJOSA</t>
  </si>
  <si>
    <t>17490164-3</t>
  </si>
  <si>
    <t>Marcelo Mardones Veloso</t>
  </si>
  <si>
    <t>10858571-4</t>
  </si>
  <si>
    <t>Aldo Argandoña Muñoz</t>
  </si>
  <si>
    <t>16597203-1</t>
  </si>
  <si>
    <t>Victoria Osorio</t>
  </si>
  <si>
    <t>16609435-6</t>
  </si>
  <si>
    <t>Diego espinoza valenzuela</t>
  </si>
  <si>
    <t>9705756-7</t>
  </si>
  <si>
    <t>Daniel Gomez</t>
  </si>
  <si>
    <t>16839344-K</t>
  </si>
  <si>
    <t>Miguel Garrido</t>
  </si>
  <si>
    <t>17559219-9</t>
  </si>
  <si>
    <t>Francisco Vidal</t>
  </si>
  <si>
    <t>10750672-1</t>
  </si>
  <si>
    <t>Yocelyn Castro</t>
  </si>
  <si>
    <t>17849024-9</t>
  </si>
  <si>
    <t>tomas salas</t>
  </si>
  <si>
    <t>11661359-k</t>
  </si>
  <si>
    <t>Felipe Díaz</t>
  </si>
  <si>
    <t>18057273-2</t>
  </si>
  <si>
    <t>Cesar Labraña</t>
  </si>
  <si>
    <t>13141817-5</t>
  </si>
  <si>
    <t>cristian valenzuela barros</t>
  </si>
  <si>
    <t>9477067-k</t>
  </si>
  <si>
    <t>enrique castro</t>
  </si>
  <si>
    <t>1221942-8</t>
  </si>
  <si>
    <t>ANA LUISA RIQUELME LIZANA</t>
  </si>
  <si>
    <t>12355429-9</t>
  </si>
  <si>
    <t>RODOLFO ALVAREZ TIRADO</t>
  </si>
  <si>
    <t>15033074-2</t>
  </si>
  <si>
    <t>Yamilex Santeliz</t>
  </si>
  <si>
    <t>26130826-6</t>
  </si>
  <si>
    <t>Daniela Cerda</t>
  </si>
  <si>
    <t>18853456-2</t>
  </si>
  <si>
    <t>John Quiroz</t>
  </si>
  <si>
    <t>16088650-1</t>
  </si>
  <si>
    <t>nataly soto</t>
  </si>
  <si>
    <t>18908027-1</t>
  </si>
  <si>
    <t>Dennys Tovar Mora</t>
  </si>
  <si>
    <t>24130305-5</t>
  </si>
  <si>
    <t>Jaime Lee</t>
  </si>
  <si>
    <t>18018571-2</t>
  </si>
  <si>
    <t>Guillermo Celis</t>
  </si>
  <si>
    <t>16345790-3</t>
  </si>
  <si>
    <t>Maria Luisa Ahumada</t>
  </si>
  <si>
    <t>15364334-2</t>
  </si>
  <si>
    <t>Luis Hernando Chacón Pita</t>
  </si>
  <si>
    <t>10336185-0</t>
  </si>
  <si>
    <t>Oscar Murphy</t>
  </si>
  <si>
    <t>10327842-2</t>
  </si>
  <si>
    <t>David Retamal</t>
  </si>
  <si>
    <t>13954992-9</t>
  </si>
  <si>
    <t xml:space="preserve">Andrea Cabrera </t>
  </si>
  <si>
    <t>12805264-k</t>
  </si>
  <si>
    <t>Natacha Escalona</t>
  </si>
  <si>
    <t>25907549-1</t>
  </si>
  <si>
    <t>Jessica Benavides Gutierrez</t>
  </si>
  <si>
    <t>13628247-6</t>
  </si>
  <si>
    <t>Francisco Lasserre</t>
  </si>
  <si>
    <t>13025930-8</t>
  </si>
  <si>
    <t>ISMAEL EDUARDO LOPEZ NAVARRETE</t>
  </si>
  <si>
    <t>15038178-9</t>
  </si>
  <si>
    <t>Melissa Salamanca Jerez</t>
  </si>
  <si>
    <t>16320237-9</t>
  </si>
  <si>
    <t>Susana Morales</t>
  </si>
  <si>
    <t>13320610-8</t>
  </si>
  <si>
    <t>Romulo Chavez Rojas</t>
  </si>
  <si>
    <t>10506929-4</t>
  </si>
  <si>
    <t>Camilo Martinez</t>
  </si>
  <si>
    <t>15366678-4</t>
  </si>
  <si>
    <t>katherine aguayo</t>
  </si>
  <si>
    <t>17550689-6</t>
  </si>
  <si>
    <t>Hernán Barrientos Gutiérrez</t>
  </si>
  <si>
    <t>9166488-7</t>
  </si>
  <si>
    <t>carla molina</t>
  </si>
  <si>
    <t>16651166-6</t>
  </si>
  <si>
    <t>Claudio Varas</t>
  </si>
  <si>
    <t>11837587-4</t>
  </si>
  <si>
    <t>CAROLINA TOBAR</t>
  </si>
  <si>
    <t>14556780-7</t>
  </si>
  <si>
    <t>Graciela López Cortés</t>
  </si>
  <si>
    <t>9171169-9</t>
  </si>
  <si>
    <t>cristian armijo marro</t>
  </si>
  <si>
    <t>Jorge Sanchez</t>
  </si>
  <si>
    <t>12578795-9</t>
  </si>
  <si>
    <t>David Gonzalez</t>
  </si>
  <si>
    <t>25670385-8</t>
  </si>
  <si>
    <t>Mario Vergara Cajas</t>
  </si>
  <si>
    <t>6876931-0</t>
  </si>
  <si>
    <t>ALEX FRANCO CERDA OLIVA</t>
  </si>
  <si>
    <t>11577548-0</t>
  </si>
  <si>
    <t>Alex Illmer</t>
  </si>
  <si>
    <t>18775410-0</t>
  </si>
  <si>
    <t>Jorge Alcaíno</t>
  </si>
  <si>
    <t>16213087-0</t>
  </si>
  <si>
    <t>Ernesto Ramos Lara</t>
  </si>
  <si>
    <t>12357854-6</t>
  </si>
  <si>
    <t>Nancy Rojas</t>
  </si>
  <si>
    <t>117880184-2</t>
  </si>
  <si>
    <t>Yarod Aliaga</t>
  </si>
  <si>
    <t>20823661-k</t>
  </si>
  <si>
    <t>Claudia Puebla</t>
  </si>
  <si>
    <t>13266788-8</t>
  </si>
  <si>
    <t>María Paz Ureta</t>
  </si>
  <si>
    <t>13472187-1</t>
  </si>
  <si>
    <t>SOFIA FUENTES</t>
  </si>
  <si>
    <t>7200846-4</t>
  </si>
  <si>
    <t>Rodolfo Arcos Barraza</t>
  </si>
  <si>
    <t>12872019-7</t>
  </si>
  <si>
    <t>Catherine Puebla</t>
  </si>
  <si>
    <t>16004721-6</t>
  </si>
  <si>
    <t>Pia Aguilar</t>
  </si>
  <si>
    <t>18298476-0</t>
  </si>
  <si>
    <t>Pedro Aguilera</t>
  </si>
  <si>
    <t>16783895-2</t>
  </si>
  <si>
    <t>GENESIS RODRIGUEZ</t>
  </si>
  <si>
    <t>26207847-7</t>
  </si>
  <si>
    <t>Silvana Comandini</t>
  </si>
  <si>
    <t>8671250-4</t>
  </si>
  <si>
    <t>Luis Pinto</t>
  </si>
  <si>
    <t>Jorge Valdes Novoa</t>
  </si>
  <si>
    <t>12529892-3</t>
  </si>
  <si>
    <t>ruben bustamante</t>
  </si>
  <si>
    <t>Susan Quintana</t>
  </si>
  <si>
    <t>11972705-7</t>
  </si>
  <si>
    <t>Claudia Estévez</t>
  </si>
  <si>
    <t>19.658.003-4</t>
  </si>
  <si>
    <t>Patricia Gayoso</t>
  </si>
  <si>
    <t>13065249-2</t>
  </si>
  <si>
    <t>Roxana Ugarte</t>
  </si>
  <si>
    <t>25928182-2</t>
  </si>
  <si>
    <t>Francisco Araya</t>
  </si>
  <si>
    <t>19257903-1</t>
  </si>
  <si>
    <t>Jorge Parada</t>
  </si>
  <si>
    <t>18907687-8</t>
  </si>
  <si>
    <t>Hernán Santana Azócar</t>
  </si>
  <si>
    <t>11922425-k</t>
  </si>
  <si>
    <t>Claudio Garcia Castillo</t>
  </si>
  <si>
    <t>4676058-1</t>
  </si>
  <si>
    <t xml:space="preserve">CLAUDIA KASIC </t>
  </si>
  <si>
    <t>12615906-4</t>
  </si>
  <si>
    <t>Juan Fabian Orellana Condori</t>
  </si>
  <si>
    <t>17011377-2</t>
  </si>
  <si>
    <t>Paola Flores Martinez</t>
  </si>
  <si>
    <t>16633414-4</t>
  </si>
  <si>
    <t>Catherine Aguilera soto</t>
  </si>
  <si>
    <t>Paula Salinas Hernández</t>
  </si>
  <si>
    <t>15372672-8</t>
  </si>
  <si>
    <t>DANIEL PAREDES</t>
  </si>
  <si>
    <t>15294800-K</t>
  </si>
  <si>
    <t>Alvaro Uribe</t>
  </si>
  <si>
    <t>15346098-1</t>
  </si>
  <si>
    <t>Daniela Orellana Gutiérrez</t>
  </si>
  <si>
    <t>19406609-0</t>
  </si>
  <si>
    <t>Alexandra Clarke</t>
  </si>
  <si>
    <t>16813831-8</t>
  </si>
  <si>
    <t>Benilda Flores</t>
  </si>
  <si>
    <t>10707862-2</t>
  </si>
  <si>
    <t xml:space="preserve">Pedro Escobar </t>
  </si>
  <si>
    <t>12951078-1</t>
  </si>
  <si>
    <t xml:space="preserve">Carmen Sakamoto </t>
  </si>
  <si>
    <t>12596512-1</t>
  </si>
  <si>
    <t>Barbara Toro</t>
  </si>
  <si>
    <t>16666502-7</t>
  </si>
  <si>
    <t>Mauricio Dinamarca</t>
  </si>
  <si>
    <t>15308761-k</t>
  </si>
  <si>
    <t>MARGARET BARAHONA</t>
  </si>
  <si>
    <t>11121269-4</t>
  </si>
  <si>
    <t xml:space="preserve">Orlando Salamanca </t>
  </si>
  <si>
    <t>12848005-6</t>
  </si>
  <si>
    <t>francisco simon</t>
  </si>
  <si>
    <t>8567297-5</t>
  </si>
  <si>
    <t>Christian Vidal</t>
  </si>
  <si>
    <t>10403272-9</t>
  </si>
  <si>
    <t xml:space="preserve">Oscar Ovalle </t>
  </si>
  <si>
    <t>12450708-1</t>
  </si>
  <si>
    <t>Luis Cisternas</t>
  </si>
  <si>
    <t>10811282-4</t>
  </si>
  <si>
    <t>Boris Ramírez</t>
  </si>
  <si>
    <t>17174157-2</t>
  </si>
  <si>
    <t xml:space="preserve">Cristopher Cortes </t>
  </si>
  <si>
    <t>18268577-1</t>
  </si>
  <si>
    <t>Diego Moris</t>
  </si>
  <si>
    <t>18084752-9</t>
  </si>
  <si>
    <t>Roberto Galleguillos Sagredo</t>
  </si>
  <si>
    <t>10070819-1</t>
  </si>
  <si>
    <t>Julia carrasco valenzuela</t>
  </si>
  <si>
    <t>11480347-2</t>
  </si>
  <si>
    <t>Humberto  Santander Gavino</t>
  </si>
  <si>
    <t>7581137-3</t>
  </si>
  <si>
    <t>Ruben Perez Sepulveda</t>
  </si>
  <si>
    <t>9097856-K</t>
  </si>
  <si>
    <t>PAOLA MARIN</t>
  </si>
  <si>
    <t>17480925-9</t>
  </si>
  <si>
    <t>Gonzalo Araos</t>
  </si>
  <si>
    <t>17806961-6</t>
  </si>
  <si>
    <t>oscar pasten</t>
  </si>
  <si>
    <t>13177866-k</t>
  </si>
  <si>
    <t>Camila Guajardo</t>
  </si>
  <si>
    <t>18915629-4</t>
  </si>
  <si>
    <t>hans michea</t>
  </si>
  <si>
    <t>13021587-4</t>
  </si>
  <si>
    <t>PAMELA ANDREA BUSTOS BUSTOS</t>
  </si>
  <si>
    <t>15182378-5</t>
  </si>
  <si>
    <t>Katherine Barriga</t>
  </si>
  <si>
    <t>13565504-K</t>
  </si>
  <si>
    <t xml:space="preserve">Fabian Madrigal </t>
  </si>
  <si>
    <t>19568733-1</t>
  </si>
  <si>
    <t>Francisca Benavides</t>
  </si>
  <si>
    <t>17600057-0</t>
  </si>
  <si>
    <t>Natalia Calvo Erickson</t>
  </si>
  <si>
    <t>19734332-K</t>
  </si>
  <si>
    <t>Pompeyo Carrasco</t>
  </si>
  <si>
    <t>17403903-8</t>
  </si>
  <si>
    <t>XIMENA OYARZO SALDIVIA</t>
  </si>
  <si>
    <t>14591507-4</t>
  </si>
  <si>
    <t>Shara Rojas</t>
  </si>
  <si>
    <t>26408983-2</t>
  </si>
  <si>
    <t>Ninguno, pues realicé 100% teletrabajo.</t>
  </si>
  <si>
    <t>Rodrigo Soto Esparza</t>
  </si>
  <si>
    <t>14349317-2</t>
  </si>
  <si>
    <t xml:space="preserve">Elizabeth Gallardo </t>
  </si>
  <si>
    <t>16680597-K</t>
  </si>
  <si>
    <t xml:space="preserve">Alicia Fretes </t>
  </si>
  <si>
    <t>22436655-8</t>
  </si>
  <si>
    <t>Esteban Marchant</t>
  </si>
  <si>
    <t>18467025-9</t>
  </si>
  <si>
    <t>DENISSE PIZARRO DIAZ</t>
  </si>
  <si>
    <t>17316143-3</t>
  </si>
  <si>
    <t>Mauricio Navarrete</t>
  </si>
  <si>
    <t>18452244-6</t>
  </si>
  <si>
    <t>Solange Mc Guire Rojas</t>
  </si>
  <si>
    <t>15465335-k</t>
  </si>
  <si>
    <t>Magdalena Escala</t>
  </si>
  <si>
    <t>15273131-0</t>
  </si>
  <si>
    <t>jeremy muñoz</t>
  </si>
  <si>
    <t>Felipe Velasquez</t>
  </si>
  <si>
    <t>16844470-2</t>
  </si>
  <si>
    <t>Luis Jofre Chavez</t>
  </si>
  <si>
    <t>13509650-4</t>
  </si>
  <si>
    <t>JESUS ANTONIO DOMÍNGUEZ JIMENEZ</t>
  </si>
  <si>
    <t>26776628.2</t>
  </si>
  <si>
    <t>Noemi Ziegenbein</t>
  </si>
  <si>
    <t>13036343-1</t>
  </si>
  <si>
    <t>Hugo Moya A.</t>
  </si>
  <si>
    <t>10585113.8</t>
  </si>
  <si>
    <t>Claudio Jones</t>
  </si>
  <si>
    <t>15467087-4</t>
  </si>
  <si>
    <t>INGRID VALESKA JORQUERA PARRAGUEZ</t>
  </si>
  <si>
    <t>Roberto Molina</t>
  </si>
  <si>
    <t>14183938-1</t>
  </si>
  <si>
    <t>Carolina Céspedes</t>
  </si>
  <si>
    <t>16944031-k</t>
  </si>
  <si>
    <t>MARITZA MARCELA CASTILLO LOPEZ</t>
  </si>
  <si>
    <t>11508735.5</t>
  </si>
  <si>
    <t>Paula Diaz</t>
  </si>
  <si>
    <t>9143489-K</t>
  </si>
  <si>
    <t>Rodrigo Leiva</t>
  </si>
  <si>
    <t>16482696-1</t>
  </si>
  <si>
    <t>rene ramirez</t>
  </si>
  <si>
    <t>18399743-2</t>
  </si>
  <si>
    <t xml:space="preserve">patricio león </t>
  </si>
  <si>
    <t>19081994-9</t>
  </si>
  <si>
    <t>Paloma Maldonado</t>
  </si>
  <si>
    <t>17251277-1</t>
  </si>
  <si>
    <t xml:space="preserve">Loreto Campos </t>
  </si>
  <si>
    <t>12072345-6</t>
  </si>
  <si>
    <t>Catalina Gatica</t>
  </si>
  <si>
    <t>19401490-2</t>
  </si>
  <si>
    <t>YESSICA ACEVEDO</t>
  </si>
  <si>
    <t>14302278-1</t>
  </si>
  <si>
    <t>Francisca Arias</t>
  </si>
  <si>
    <t>17310439-1</t>
  </si>
  <si>
    <t>Claudio Daza</t>
  </si>
  <si>
    <t>12501497-6</t>
  </si>
  <si>
    <t>Roraima Rivas</t>
  </si>
  <si>
    <t>26726394-9</t>
  </si>
  <si>
    <t xml:space="preserve">Juan Carlos Matamala </t>
  </si>
  <si>
    <t>13145274-8</t>
  </si>
  <si>
    <t>judith garrido</t>
  </si>
  <si>
    <t>13675572-2</t>
  </si>
  <si>
    <t xml:space="preserve">Orfelina Maribel Jaime Jofre </t>
  </si>
  <si>
    <t>13536215-8</t>
  </si>
  <si>
    <t>YAXIRA PARTIDAS</t>
  </si>
  <si>
    <t>26646200-K</t>
  </si>
  <si>
    <t>Kharimm Picardo</t>
  </si>
  <si>
    <t>18827074-3</t>
  </si>
  <si>
    <t>OREANA YEPES</t>
  </si>
  <si>
    <t>24723893-K</t>
  </si>
  <si>
    <t>Luciano Fischer</t>
  </si>
  <si>
    <t>16153966-K</t>
  </si>
  <si>
    <t>18377202-3</t>
  </si>
  <si>
    <t>Maria Jose Fabres</t>
  </si>
  <si>
    <t>17248998-2</t>
  </si>
  <si>
    <t>Brenda Perez</t>
  </si>
  <si>
    <t>14126468-0</t>
  </si>
  <si>
    <t>Karla Vilches</t>
  </si>
  <si>
    <t>15627494-1</t>
  </si>
  <si>
    <t>Daniela Oporto</t>
  </si>
  <si>
    <t>16516299-4</t>
  </si>
  <si>
    <t>Andrés Trujillo</t>
  </si>
  <si>
    <t>25690802-6</t>
  </si>
  <si>
    <t xml:space="preserve">Patricia Andrea Romero Arenas </t>
  </si>
  <si>
    <t>16203597-5</t>
  </si>
  <si>
    <t xml:space="preserve">Héctor Rojas Collao </t>
  </si>
  <si>
    <t>12419166-1</t>
  </si>
  <si>
    <t>Gustavo Salvo</t>
  </si>
  <si>
    <t>8117328-1</t>
  </si>
  <si>
    <t>Alexander Cabrera</t>
  </si>
  <si>
    <t>13840796-9</t>
  </si>
  <si>
    <t xml:space="preserve">Maria Elena Matus </t>
  </si>
  <si>
    <t>9248414-9</t>
  </si>
  <si>
    <t>Angelica Alvarado</t>
  </si>
  <si>
    <t>Cristian Albornoz</t>
  </si>
  <si>
    <t>13794371-9</t>
  </si>
  <si>
    <t>Elías Selamé</t>
  </si>
  <si>
    <t>16726648-7</t>
  </si>
  <si>
    <t>Dyan Rodriguez</t>
  </si>
  <si>
    <t>19205938-0</t>
  </si>
  <si>
    <t>PURISIMA CASTRO PEREZ</t>
  </si>
  <si>
    <t>8447792-3</t>
  </si>
  <si>
    <t>pascual carmona</t>
  </si>
  <si>
    <t>11618156-8</t>
  </si>
  <si>
    <t>Virginia Medina Santander</t>
  </si>
  <si>
    <t>14139326-K</t>
  </si>
  <si>
    <t>Axeel Campos</t>
  </si>
  <si>
    <t>17368498-3</t>
  </si>
  <si>
    <t>Maria Alcamán F.</t>
  </si>
  <si>
    <t>12482632-2</t>
  </si>
  <si>
    <t>JORGE SILVA</t>
  </si>
  <si>
    <t>17109639-1</t>
  </si>
  <si>
    <t xml:space="preserve">Luis Antonio Cespedes </t>
  </si>
  <si>
    <t xml:space="preserve">10344086-6 </t>
  </si>
  <si>
    <t>Mario Valdivia</t>
  </si>
  <si>
    <t>7110185-1</t>
  </si>
  <si>
    <t>Claudia Arancibia</t>
  </si>
  <si>
    <t>16988909-0</t>
  </si>
  <si>
    <t>José Torres</t>
  </si>
  <si>
    <t>18560332-6</t>
  </si>
  <si>
    <t>Constanza Ramirez</t>
  </si>
  <si>
    <t>16472542-1</t>
  </si>
  <si>
    <t>KATY HALVORSEN ALBORNOZ</t>
  </si>
  <si>
    <t>14168619-4</t>
  </si>
  <si>
    <t>pamela andrea de la fuente grandy</t>
  </si>
  <si>
    <t>13310656-1</t>
  </si>
  <si>
    <t>José Antonio díaz</t>
  </si>
  <si>
    <t>13066053-3</t>
  </si>
  <si>
    <t>Alex León</t>
  </si>
  <si>
    <t>13045882-3</t>
  </si>
  <si>
    <t>Carlos Javier Gonzalez Barrientos</t>
  </si>
  <si>
    <t>12309397-6</t>
  </si>
  <si>
    <t xml:space="preserve">Patricio León Briones </t>
  </si>
  <si>
    <t>9137428-5</t>
  </si>
  <si>
    <t>Manuel Enrique Jaque San JUan</t>
  </si>
  <si>
    <t>8047979-4</t>
  </si>
  <si>
    <t xml:space="preserve">pabla morales faune </t>
  </si>
  <si>
    <t>12008330-9</t>
  </si>
  <si>
    <t>Belzaith Martinez</t>
  </si>
  <si>
    <t>26849191-3</t>
  </si>
  <si>
    <t>Jose Luis Gutierrez Lazcano</t>
  </si>
  <si>
    <t>19281417-0</t>
  </si>
  <si>
    <t>VANESSA DIAZ VERGARA</t>
  </si>
  <si>
    <t>16245046-8</t>
  </si>
  <si>
    <t>FRANCISCO GUTIÉRREZ</t>
  </si>
  <si>
    <t>27046538-2</t>
  </si>
  <si>
    <t>Vanessa Guerra</t>
  </si>
  <si>
    <t>18334932-5</t>
  </si>
  <si>
    <t>Michael Morrison</t>
  </si>
  <si>
    <t>15308408-4</t>
  </si>
  <si>
    <t>Drina Oros</t>
  </si>
  <si>
    <t>16559210-7</t>
  </si>
  <si>
    <t>25182594-7</t>
  </si>
  <si>
    <t>Rodrigo Reyes</t>
  </si>
  <si>
    <t>17030724-0</t>
  </si>
  <si>
    <t>Maguilda Apablaza Zenteno</t>
  </si>
  <si>
    <t>9428935-1</t>
  </si>
  <si>
    <t>Yosvany Hernandez Leiva</t>
  </si>
  <si>
    <t>Antonio Ore Colugna</t>
  </si>
  <si>
    <t>23475823-3</t>
  </si>
  <si>
    <t>Johanns Marin</t>
  </si>
  <si>
    <t>18032269-8</t>
  </si>
  <si>
    <t>Felipe Badilla</t>
  </si>
  <si>
    <t>15472308-0</t>
  </si>
  <si>
    <t>Nicole Iturra</t>
  </si>
  <si>
    <t>16699818-2</t>
  </si>
  <si>
    <t>LUIS ALEJANDRO ACOSTA CORVALAN</t>
  </si>
  <si>
    <t>9090145-1</t>
  </si>
  <si>
    <t>Beatriz Bosque</t>
  </si>
  <si>
    <t>14394670-3</t>
  </si>
  <si>
    <t>Silvana Valeska Gatica Maurer</t>
  </si>
  <si>
    <t>13813002-9</t>
  </si>
  <si>
    <t>Rocio Montiel</t>
  </si>
  <si>
    <t>18127471-9</t>
  </si>
  <si>
    <t>boris araya</t>
  </si>
  <si>
    <t>15461629-2</t>
  </si>
  <si>
    <t>JUAN PABLO MAULEN GAETE</t>
  </si>
  <si>
    <t>16488243-8</t>
  </si>
  <si>
    <t>Sebastian Lara</t>
  </si>
  <si>
    <t>14200484-4</t>
  </si>
  <si>
    <t>Ernesto Ramos</t>
  </si>
  <si>
    <t>Sebastian Bedoya</t>
  </si>
  <si>
    <t>Cristian Valenzuela Barros</t>
  </si>
  <si>
    <t>Belén Martínez González</t>
  </si>
  <si>
    <t>18252588-k</t>
  </si>
  <si>
    <t xml:space="preserve">Alain Rachet </t>
  </si>
  <si>
    <t>16874879-5</t>
  </si>
  <si>
    <t>Esteban Candia</t>
  </si>
  <si>
    <t>18850511-2</t>
  </si>
  <si>
    <t>ricardo lopez</t>
  </si>
  <si>
    <t>13044038-k</t>
  </si>
  <si>
    <t>Claudio Diaz D.</t>
  </si>
  <si>
    <t>18004165-6</t>
  </si>
  <si>
    <t>carlos hernandez</t>
  </si>
  <si>
    <t>13901098-1</t>
  </si>
  <si>
    <t xml:space="preserve">eduardo velasquez </t>
  </si>
  <si>
    <t>16457588-8</t>
  </si>
  <si>
    <t>Juana Marinao</t>
  </si>
  <si>
    <t>12906624-5</t>
  </si>
  <si>
    <t>Marcelo Rodrigo Mardones Veloso</t>
  </si>
  <si>
    <t>Felipe Castro</t>
  </si>
  <si>
    <t>19053716-1</t>
  </si>
  <si>
    <t>MADELINE BARRIENTOS</t>
  </si>
  <si>
    <t>17196870-4</t>
  </si>
  <si>
    <t>Alvaro Stuardo</t>
  </si>
  <si>
    <t>11241838-5</t>
  </si>
  <si>
    <t>CLAUDIA SEPULVEDA CRUCES</t>
  </si>
  <si>
    <t>12136595-2</t>
  </si>
  <si>
    <t>Cristopher Riffo</t>
  </si>
  <si>
    <t>12910449-K</t>
  </si>
  <si>
    <t>PAMELA GONZALEZ</t>
  </si>
  <si>
    <t>18000456-4</t>
  </si>
  <si>
    <t>CHRISTIAN ANDRES GOMEZ GONZALEZ</t>
  </si>
  <si>
    <t>13776433-4</t>
  </si>
  <si>
    <t>Michel Illanes</t>
  </si>
  <si>
    <t>14182888-6</t>
  </si>
  <si>
    <t>Aldo González</t>
  </si>
  <si>
    <t>16570257-3</t>
  </si>
  <si>
    <t>Karol Garrido Burghi</t>
  </si>
  <si>
    <t>23594040-k</t>
  </si>
  <si>
    <t>Boris Aguilera</t>
  </si>
  <si>
    <t>19094931-1</t>
  </si>
  <si>
    <t>SANDRA DIAZ VILLASECA</t>
  </si>
  <si>
    <t>15223998-K</t>
  </si>
  <si>
    <t>Constanza Bazán</t>
  </si>
  <si>
    <t>Alexis Zúñiga</t>
  </si>
  <si>
    <t>17318306-2</t>
  </si>
  <si>
    <t>Carolina Hernandez</t>
  </si>
  <si>
    <t>18113993-5</t>
  </si>
  <si>
    <t>SHEYLA MARTINEZ JIMENEZ</t>
  </si>
  <si>
    <t>26580358-K</t>
  </si>
  <si>
    <t>Mauricio Brito</t>
  </si>
  <si>
    <t>17780099-6</t>
  </si>
  <si>
    <t xml:space="preserve">Cristian Rivera </t>
  </si>
  <si>
    <t>12425964-9</t>
  </si>
  <si>
    <t>Fabrizio Figueroa</t>
  </si>
  <si>
    <t>16513837-6</t>
  </si>
  <si>
    <t>Edgar Castro</t>
  </si>
  <si>
    <t>13992138-0</t>
  </si>
  <si>
    <t>Julio Ricardo Slater Lizana</t>
  </si>
  <si>
    <t>10105763-1</t>
  </si>
  <si>
    <t>VALENTINA OLIVARES GARCIA</t>
  </si>
  <si>
    <t>19091956-0</t>
  </si>
  <si>
    <t>MARIA ELIANA MARTINOLI</t>
  </si>
  <si>
    <t>8757983-2</t>
  </si>
  <si>
    <t>GILFERNARIDS BODOR ZAMBRANO</t>
  </si>
  <si>
    <t>27195125-6</t>
  </si>
  <si>
    <t>Katherine Jimenez</t>
  </si>
  <si>
    <t>8101873-1</t>
  </si>
  <si>
    <t>Oscar Palma</t>
  </si>
  <si>
    <t>13991554-2</t>
  </si>
  <si>
    <t>Rodrigo Forno</t>
  </si>
  <si>
    <t>10282017-7</t>
  </si>
  <si>
    <t>alejandro gonzalez</t>
  </si>
  <si>
    <t>10586066-8</t>
  </si>
  <si>
    <t>Ricardo Rojas</t>
  </si>
  <si>
    <t>10633981-3</t>
  </si>
  <si>
    <t>Danilo Carvajal</t>
  </si>
  <si>
    <t>14509491-7</t>
  </si>
  <si>
    <t>Claudio Pizarro</t>
  </si>
  <si>
    <t>17488062-K</t>
  </si>
  <si>
    <t>JONATHAN SILVA</t>
  </si>
  <si>
    <t>15786255-3</t>
  </si>
  <si>
    <t>Freddy Campos Downing</t>
  </si>
  <si>
    <t>11669129-9</t>
  </si>
  <si>
    <t>BARBARA TORO</t>
  </si>
  <si>
    <t>Nicolás Díaz</t>
  </si>
  <si>
    <t>17175732-0</t>
  </si>
  <si>
    <t>GUILLERMO POZO</t>
  </si>
  <si>
    <t>17652284-4</t>
  </si>
  <si>
    <t>Cesar Pino</t>
  </si>
  <si>
    <t>12435628-8</t>
  </si>
  <si>
    <t>Marcelo Palma</t>
  </si>
  <si>
    <t>10789165-k</t>
  </si>
  <si>
    <t>Fuad Rabaji</t>
  </si>
  <si>
    <t>13668770-0</t>
  </si>
  <si>
    <t>michelly norambuena</t>
  </si>
  <si>
    <t>16589007-8</t>
  </si>
  <si>
    <t xml:space="preserve">Yisla Sánchez </t>
  </si>
  <si>
    <t>16031067-7</t>
  </si>
  <si>
    <t>Carlos Cabello</t>
  </si>
  <si>
    <t>12653811-1</t>
  </si>
  <si>
    <t>VICTOR MENESES</t>
  </si>
  <si>
    <t>8881866-0</t>
  </si>
  <si>
    <t>María del Rosario Letelier Vargas</t>
  </si>
  <si>
    <t>15559021-1</t>
  </si>
  <si>
    <t>Gonzalo Flores</t>
  </si>
  <si>
    <t>18121245-4</t>
  </si>
  <si>
    <t>jhoseht Andres Berrios Vasquez</t>
  </si>
  <si>
    <t>25955998-7</t>
  </si>
  <si>
    <t>viviana maldonado</t>
  </si>
  <si>
    <t>19789722-8</t>
  </si>
  <si>
    <t>Yenny Gonzalez</t>
  </si>
  <si>
    <t>14071213-2</t>
  </si>
  <si>
    <t>CLAUDIO TORRES</t>
  </si>
  <si>
    <t xml:space="preserve">Claudia Fernández </t>
  </si>
  <si>
    <t>15812964-7</t>
  </si>
  <si>
    <t>Evelyn Valdovino Calderon</t>
  </si>
  <si>
    <t>12609625-9</t>
  </si>
  <si>
    <t>Carla Castro</t>
  </si>
  <si>
    <t>16001536-5</t>
  </si>
  <si>
    <t>Claudia Sanhueza</t>
  </si>
  <si>
    <t>15880140-k</t>
  </si>
  <si>
    <t>SENEN ENRIQUE URDANETA ABARCA</t>
  </si>
  <si>
    <t>26557119-0</t>
  </si>
  <si>
    <t>Sergio Vera</t>
  </si>
  <si>
    <t>18045114-5</t>
  </si>
  <si>
    <t>carlos matus</t>
  </si>
  <si>
    <t>9300729-8</t>
  </si>
  <si>
    <t xml:space="preserve">16680597-k </t>
  </si>
  <si>
    <t>Yisselle Tapia</t>
  </si>
  <si>
    <t>13894423-9</t>
  </si>
  <si>
    <t>hernan rivera castillo</t>
  </si>
  <si>
    <t>13674982-k</t>
  </si>
  <si>
    <t xml:space="preserve">Paola San Martín </t>
  </si>
  <si>
    <t>15437582-1</t>
  </si>
  <si>
    <t xml:space="preserve">Angelo Rodriguez </t>
  </si>
  <si>
    <t>22588787-k</t>
  </si>
  <si>
    <t>Jacqueline sazo</t>
  </si>
  <si>
    <t>9497621-9</t>
  </si>
  <si>
    <t>Jose Collao</t>
  </si>
  <si>
    <t>9692874-2</t>
  </si>
  <si>
    <t>Alfonso Diaz</t>
  </si>
  <si>
    <t>10864299-8</t>
  </si>
  <si>
    <t xml:space="preserve">Marilyn caamaño parra </t>
  </si>
  <si>
    <t>13972094-6</t>
  </si>
  <si>
    <t>Mayohanny Francis</t>
  </si>
  <si>
    <t>27201459-0</t>
  </si>
  <si>
    <t>Manuel Carreño</t>
  </si>
  <si>
    <t>14326349-5</t>
  </si>
  <si>
    <t>francisco rodriguez</t>
  </si>
  <si>
    <t>18263629-0</t>
  </si>
  <si>
    <t>Loreto Avalos</t>
  </si>
  <si>
    <t>15802877-8</t>
  </si>
  <si>
    <t>Stiven Hurtado velez</t>
  </si>
  <si>
    <t>25587957-K</t>
  </si>
  <si>
    <t>Rodrigo Gutiérrez Goudeau</t>
  </si>
  <si>
    <t>13515663-9</t>
  </si>
  <si>
    <t>VANNIA TRAVERSO</t>
  </si>
  <si>
    <t>9619810-8</t>
  </si>
  <si>
    <t>PABLA CORVALAN BOERI</t>
  </si>
  <si>
    <t>12525029-7</t>
  </si>
  <si>
    <t>sara cabello</t>
  </si>
  <si>
    <t>18335233-4</t>
  </si>
  <si>
    <t>Johan Fuller</t>
  </si>
  <si>
    <t>18557472-5</t>
  </si>
  <si>
    <t>Luis Martinez Sazo</t>
  </si>
  <si>
    <t>beatriz gonzalez</t>
  </si>
  <si>
    <t>17158026-9</t>
  </si>
  <si>
    <t>pablo hermosilla</t>
  </si>
  <si>
    <t>10139238-4</t>
  </si>
  <si>
    <t>VICTOR RIQUELME</t>
  </si>
  <si>
    <t>15129618-1</t>
  </si>
  <si>
    <t>manuel cortés</t>
  </si>
  <si>
    <t>13702299-0</t>
  </si>
  <si>
    <t>LORENA ZAMBRA</t>
  </si>
  <si>
    <t>13875158-9</t>
  </si>
  <si>
    <t>Eugenio Sporman</t>
  </si>
  <si>
    <t>13734369-k</t>
  </si>
  <si>
    <t>Javier Uribe</t>
  </si>
  <si>
    <t>17269514-0</t>
  </si>
  <si>
    <t>Jacqueline Jara</t>
  </si>
  <si>
    <t>11790097-5</t>
  </si>
  <si>
    <t xml:space="preserve">marcela sagredo </t>
  </si>
  <si>
    <t>9817949-6</t>
  </si>
  <si>
    <t>Manuel Jaque San Juan</t>
  </si>
  <si>
    <t>8.047.979-4</t>
  </si>
  <si>
    <t>Consolacion Rojas Villamizar</t>
  </si>
  <si>
    <t>26667535-6</t>
  </si>
  <si>
    <t>Cristóbal Lyon Labbé</t>
  </si>
  <si>
    <t>16095994-0</t>
  </si>
  <si>
    <t>NATASHA YANEZ</t>
  </si>
  <si>
    <t xml:space="preserve">MARIBEL MICHEL AZOCAR REYES </t>
  </si>
  <si>
    <t>11658771-8</t>
  </si>
  <si>
    <t>Jose Luis Parra Garcia</t>
  </si>
  <si>
    <t>13735338-5</t>
  </si>
  <si>
    <t>SANDRA CASTILLON YUCRA</t>
  </si>
  <si>
    <t>12004919-4</t>
  </si>
  <si>
    <t>Patricio A Rodriguez Muñoz</t>
  </si>
  <si>
    <t>9938924-9</t>
  </si>
  <si>
    <t>Pedro Cerda</t>
  </si>
  <si>
    <t>12644115-0</t>
  </si>
  <si>
    <t>Patrick Fuentes</t>
  </si>
  <si>
    <t>19652202-6</t>
  </si>
  <si>
    <t>Camila Miño</t>
  </si>
  <si>
    <t>17578346-6</t>
  </si>
  <si>
    <t>lepoldo hector ricoy meana</t>
  </si>
  <si>
    <t>21652852-2</t>
  </si>
  <si>
    <t>Jorge Segura</t>
  </si>
  <si>
    <t>13187508-8</t>
  </si>
  <si>
    <t>Jonathan Reyes Fernandez</t>
  </si>
  <si>
    <t>15740750-3</t>
  </si>
  <si>
    <t>Cesar Varas</t>
  </si>
  <si>
    <t>17452593-5</t>
  </si>
  <si>
    <t>Paolo Stagno</t>
  </si>
  <si>
    <t>16071404-2</t>
  </si>
  <si>
    <t>Jesús Betancourt</t>
  </si>
  <si>
    <t>25928364-7</t>
  </si>
  <si>
    <t>Mirna Castillo</t>
  </si>
  <si>
    <t>11336934-5</t>
  </si>
  <si>
    <t>Delfina Valdes</t>
  </si>
  <si>
    <t>13898764-7</t>
  </si>
  <si>
    <t>jesus zambrano</t>
  </si>
  <si>
    <t>26928369-6</t>
  </si>
  <si>
    <t>JOSE RAUL MERINO</t>
  </si>
  <si>
    <t>10935065-6</t>
  </si>
  <si>
    <t>MIGUEL ANGEL GARCIA Q</t>
  </si>
  <si>
    <t>13758021-7</t>
  </si>
  <si>
    <t>Joel Alzamora</t>
  </si>
  <si>
    <t>16891779-1</t>
  </si>
  <si>
    <t>ARCADIO MEJIAS</t>
  </si>
  <si>
    <t>25619614-K</t>
  </si>
  <si>
    <t>Francisca Belen Araya Ortega</t>
  </si>
  <si>
    <t>19100917-7</t>
  </si>
  <si>
    <t>Carlos Cariaga</t>
  </si>
  <si>
    <t>17157080-8</t>
  </si>
  <si>
    <t xml:space="preserve">José Pablo Berardi </t>
  </si>
  <si>
    <t>15367994-0</t>
  </si>
  <si>
    <t>FRANCISCA BRANTE</t>
  </si>
  <si>
    <t>16890069-4</t>
  </si>
  <si>
    <t>NATALY VALDECCHY</t>
  </si>
  <si>
    <t>16226216-5</t>
  </si>
  <si>
    <t>Jennyfer Vanessa López</t>
  </si>
  <si>
    <t>26464185-3</t>
  </si>
  <si>
    <t>Marta Liliana Argüello</t>
  </si>
  <si>
    <t>26179084.k</t>
  </si>
  <si>
    <t>angie castro macias</t>
  </si>
  <si>
    <t>19931633-8</t>
  </si>
  <si>
    <t>Guillermo Steffens</t>
  </si>
  <si>
    <t>15592089-0</t>
  </si>
  <si>
    <t>Pamela Donoso</t>
  </si>
  <si>
    <t>16071569-3</t>
  </si>
  <si>
    <t xml:space="preserve">rosa lincoman </t>
  </si>
  <si>
    <t>15582362-3</t>
  </si>
  <si>
    <t xml:space="preserve">angela vargas </t>
  </si>
  <si>
    <t>8938711-6</t>
  </si>
  <si>
    <t>LUIS AGUILA GUARDIA</t>
  </si>
  <si>
    <t>18232561-9</t>
  </si>
  <si>
    <t>Victor Domínguez</t>
  </si>
  <si>
    <t>25052909-0</t>
  </si>
  <si>
    <t>estefanny santelices</t>
  </si>
  <si>
    <t>18595130-8</t>
  </si>
  <si>
    <t>Pedro Gallegos</t>
  </si>
  <si>
    <t>15129818-4</t>
  </si>
  <si>
    <t xml:space="preserve">Ignacio Serrano Verástegui </t>
  </si>
  <si>
    <t>10771893-1</t>
  </si>
  <si>
    <t>Julieta Ramos Fuentes</t>
  </si>
  <si>
    <t>933488-k</t>
  </si>
  <si>
    <t>Cristian Mauricio Valdenegro Anriquez</t>
  </si>
  <si>
    <t>12137026-3</t>
  </si>
  <si>
    <t>aquiles guerrero</t>
  </si>
  <si>
    <t>Francisca Aracena</t>
  </si>
  <si>
    <t>20468895-8</t>
  </si>
  <si>
    <t>GUSTAVO MUÑOZ</t>
  </si>
  <si>
    <t>10769417-K</t>
  </si>
  <si>
    <t>Oscar Valdés Parada</t>
  </si>
  <si>
    <t>15515596-5</t>
  </si>
  <si>
    <t xml:space="preserve">Boris cortes </t>
  </si>
  <si>
    <t>17293671-7</t>
  </si>
  <si>
    <t>Ivan Martinez A.</t>
  </si>
  <si>
    <t>13493273-2</t>
  </si>
  <si>
    <t xml:space="preserve">Luis cespedes </t>
  </si>
  <si>
    <t>Jorge bontes</t>
  </si>
  <si>
    <t xml:space="preserve">15522334-0 </t>
  </si>
  <si>
    <t>Cristian Mora</t>
  </si>
  <si>
    <t>16478279-4</t>
  </si>
  <si>
    <t xml:space="preserve">Natalia Moreno. </t>
  </si>
  <si>
    <t>16479513-6</t>
  </si>
  <si>
    <t>Juan Carlos Sandoval</t>
  </si>
  <si>
    <t>15445325-3</t>
  </si>
  <si>
    <t xml:space="preserve">nicolas castañeda </t>
  </si>
  <si>
    <t>19829459-4</t>
  </si>
  <si>
    <t xml:space="preserve">carolina palleros </t>
  </si>
  <si>
    <t>13050760-3</t>
  </si>
  <si>
    <t>PABLO FLORES SANCHEZ</t>
  </si>
  <si>
    <t>12853046-0</t>
  </si>
  <si>
    <t>Damian Delgado</t>
  </si>
  <si>
    <t>18507659-8</t>
  </si>
  <si>
    <t xml:space="preserve">Tania Méndez </t>
  </si>
  <si>
    <t>17727552-2</t>
  </si>
  <si>
    <t>Ricardo Godoy</t>
  </si>
  <si>
    <t>Carol reyes</t>
  </si>
  <si>
    <t xml:space="preserve">18080666-0 </t>
  </si>
  <si>
    <t>Macly Ysaac</t>
  </si>
  <si>
    <t>26181059-k</t>
  </si>
  <si>
    <t xml:space="preserve">Denisse arriagada </t>
  </si>
  <si>
    <t>19805028-8</t>
  </si>
  <si>
    <t>Adriana Coronado</t>
  </si>
  <si>
    <t>Catalina Mateluna</t>
  </si>
  <si>
    <t>16628747-2</t>
  </si>
  <si>
    <t xml:space="preserve">Harry omar Vasquez Cifuentes </t>
  </si>
  <si>
    <t>12932948-3</t>
  </si>
  <si>
    <t>Abigail Torres</t>
  </si>
  <si>
    <t>19779774-6</t>
  </si>
  <si>
    <t>Jaime Riveros</t>
  </si>
  <si>
    <t>10353560-3</t>
  </si>
  <si>
    <t>Pilar Aguirre</t>
  </si>
  <si>
    <t>19505059-7</t>
  </si>
  <si>
    <t xml:space="preserve">Hector Toledo </t>
  </si>
  <si>
    <t xml:space="preserve">13956283-6 </t>
  </si>
  <si>
    <t>Juan Carcamo</t>
  </si>
  <si>
    <t>19190988-7</t>
  </si>
  <si>
    <t xml:space="preserve">Tania urbina </t>
  </si>
  <si>
    <t>19803404-5</t>
  </si>
  <si>
    <t>Javiera A Hernandez Ojeda</t>
  </si>
  <si>
    <t>Denisse Meza</t>
  </si>
  <si>
    <t>18189566-7</t>
  </si>
  <si>
    <t>Jacqueline canales</t>
  </si>
  <si>
    <t xml:space="preserve">Alina Frédéric </t>
  </si>
  <si>
    <t xml:space="preserve">Katery lisseth herrera caleño </t>
  </si>
  <si>
    <t>26343577-k</t>
  </si>
  <si>
    <t>karen montalva</t>
  </si>
  <si>
    <t>Osnely Castellano</t>
  </si>
  <si>
    <t>26576268-9</t>
  </si>
  <si>
    <t xml:space="preserve">Gerson Paul Sánchez cadillo </t>
  </si>
  <si>
    <t>26019138-1</t>
  </si>
  <si>
    <t>LUIS NORAMBUENA ARAYA</t>
  </si>
  <si>
    <t>14329524-9</t>
  </si>
  <si>
    <t xml:space="preserve">Javier adasme c </t>
  </si>
  <si>
    <t>Rosa Torres</t>
  </si>
  <si>
    <t>12667184-9</t>
  </si>
  <si>
    <t>Denisse Hermosilla</t>
  </si>
  <si>
    <t>17306723-2</t>
  </si>
  <si>
    <t>Sandra Espinoza</t>
  </si>
  <si>
    <t>10517950-2</t>
  </si>
  <si>
    <t>Roberto diaz</t>
  </si>
  <si>
    <t>claudio peña</t>
  </si>
  <si>
    <t>12541278-5</t>
  </si>
  <si>
    <t xml:space="preserve">Marisol Keidong </t>
  </si>
  <si>
    <t>14428141-1</t>
  </si>
  <si>
    <t>Camila fuentes</t>
  </si>
  <si>
    <t>17396557-7</t>
  </si>
  <si>
    <t>Alexander blackman</t>
  </si>
  <si>
    <t>27078026-1</t>
  </si>
  <si>
    <t>Marcelo Contreras</t>
  </si>
  <si>
    <t>20687502-k</t>
  </si>
  <si>
    <t>yenny gutierrez</t>
  </si>
  <si>
    <t>14168172-9</t>
  </si>
  <si>
    <t>EGLEE UZCATEGUI</t>
  </si>
  <si>
    <t>27127285-5</t>
  </si>
  <si>
    <t xml:space="preserve">Ingrid saez </t>
  </si>
  <si>
    <t>13498597-6</t>
  </si>
  <si>
    <t>Georges Edouard Ilesmard</t>
  </si>
  <si>
    <t>25470572-1</t>
  </si>
  <si>
    <t xml:space="preserve">María Oliva </t>
  </si>
  <si>
    <t xml:space="preserve">Cesar Tiznado </t>
  </si>
  <si>
    <t>14208868-1</t>
  </si>
  <si>
    <t xml:space="preserve">Fernanda aybar </t>
  </si>
  <si>
    <t>JACQUELINE MAUREIRA</t>
  </si>
  <si>
    <t>13478398-2</t>
  </si>
  <si>
    <t>KARINA MANQUE</t>
  </si>
  <si>
    <t>13540111-0</t>
  </si>
  <si>
    <t>Damaris Castro</t>
  </si>
  <si>
    <t>20826654-3</t>
  </si>
  <si>
    <t>Hector Gonzalez</t>
  </si>
  <si>
    <t>16805830-6</t>
  </si>
  <si>
    <t>Djimy Cles</t>
  </si>
  <si>
    <t>26368162-2</t>
  </si>
  <si>
    <t>Fabian Quintana</t>
  </si>
  <si>
    <t>16751986-5</t>
  </si>
  <si>
    <t>MARIO E CASTRO PINTO</t>
  </si>
  <si>
    <t>9229777-2</t>
  </si>
  <si>
    <t xml:space="preserve">Carlos Luis Villarreal González </t>
  </si>
  <si>
    <t>Oscar Martinez</t>
  </si>
  <si>
    <t>13185501-k</t>
  </si>
  <si>
    <t xml:space="preserve">Roberto Orlando Figueroa Herrera </t>
  </si>
  <si>
    <t xml:space="preserve">16220278-2 </t>
  </si>
  <si>
    <t>paulina morales</t>
  </si>
  <si>
    <t>15041530-6</t>
  </si>
  <si>
    <t>Estefany parada</t>
  </si>
  <si>
    <t>19094322-4</t>
  </si>
  <si>
    <t>Frederick Parra Meleán</t>
  </si>
  <si>
    <t>26961220-7</t>
  </si>
  <si>
    <t>carlos carmona</t>
  </si>
  <si>
    <t>12998558-5</t>
  </si>
  <si>
    <t>Jacqueline Ramírez</t>
  </si>
  <si>
    <t>8473258-3</t>
  </si>
  <si>
    <t>Evelyn millan</t>
  </si>
  <si>
    <t>15896275-6</t>
  </si>
  <si>
    <t xml:space="preserve">Pablo Perez </t>
  </si>
  <si>
    <t>16560411-3</t>
  </si>
  <si>
    <t>Miguel Cofre</t>
  </si>
  <si>
    <t>13556490-7</t>
  </si>
  <si>
    <t xml:space="preserve">Katherine correa </t>
  </si>
  <si>
    <t>16546598-9</t>
  </si>
  <si>
    <t xml:space="preserve">Guido Véliz </t>
  </si>
  <si>
    <t>9072066-K</t>
  </si>
  <si>
    <t xml:space="preserve">Gonzalo caces </t>
  </si>
  <si>
    <t>16193652-9</t>
  </si>
  <si>
    <t xml:space="preserve">Elizabeth Fuentes vera </t>
  </si>
  <si>
    <t>11962252-2</t>
  </si>
  <si>
    <t>Isemaelle Day</t>
  </si>
  <si>
    <t>27002501-3</t>
  </si>
  <si>
    <t xml:space="preserve">Genia Elucien </t>
  </si>
  <si>
    <t>26214003-2</t>
  </si>
  <si>
    <t>Gabriel villarroel</t>
  </si>
  <si>
    <t>Luis hernández holtschamp</t>
  </si>
  <si>
    <t>15603644-7</t>
  </si>
  <si>
    <t>Adriana acosta</t>
  </si>
  <si>
    <t>mcastellanos@chilexpress.cl</t>
  </si>
  <si>
    <t>26375054-3</t>
  </si>
  <si>
    <t>priscila andrade</t>
  </si>
  <si>
    <t>13289014-5</t>
  </si>
  <si>
    <t xml:space="preserve">Yarid Ulloa </t>
  </si>
  <si>
    <t>20581277-6</t>
  </si>
  <si>
    <t>Cristian Ortiz</t>
  </si>
  <si>
    <t>12263131-1</t>
  </si>
  <si>
    <t>INGRID MELLADO</t>
  </si>
  <si>
    <t>14582766-3</t>
  </si>
  <si>
    <t>Feliberto Flores</t>
  </si>
  <si>
    <t>7309217-5</t>
  </si>
  <si>
    <t xml:space="preserve">makarena cruz </t>
  </si>
  <si>
    <t>17885640-5</t>
  </si>
  <si>
    <t>Virna Vega</t>
  </si>
  <si>
    <t>13359115-K</t>
  </si>
  <si>
    <t xml:space="preserve">Mauricio avila </t>
  </si>
  <si>
    <t>Aldo Morales</t>
  </si>
  <si>
    <t>10031894-6</t>
  </si>
  <si>
    <t xml:space="preserve">Juan Sepúlveda </t>
  </si>
  <si>
    <t>15927575-2</t>
  </si>
  <si>
    <t>Chilove derosier</t>
  </si>
  <si>
    <t>26 282 280-k</t>
  </si>
  <si>
    <t>Fabian Diaz Cisternas</t>
  </si>
  <si>
    <t>13562600-7</t>
  </si>
  <si>
    <t xml:space="preserve">Marinise atou sanon </t>
  </si>
  <si>
    <t>25904225‐9</t>
  </si>
  <si>
    <t>Wilson Rivas</t>
  </si>
  <si>
    <t>11768313-3</t>
  </si>
  <si>
    <t xml:space="preserve">Abraham paz </t>
  </si>
  <si>
    <t>Raquel prado</t>
  </si>
  <si>
    <t>16390192-7</t>
  </si>
  <si>
    <t>José elias montoya verdugo</t>
  </si>
  <si>
    <t>17791265-4</t>
  </si>
  <si>
    <t>Manuel Pérez</t>
  </si>
  <si>
    <t>14256209-k</t>
  </si>
  <si>
    <t>Evelyn Fuentes</t>
  </si>
  <si>
    <t>16011189-5</t>
  </si>
  <si>
    <t>Carlos Sánchez</t>
  </si>
  <si>
    <t>26627161-1</t>
  </si>
  <si>
    <t xml:space="preserve">Alex Solar </t>
  </si>
  <si>
    <t>Katherine Carmen Araya Contreras</t>
  </si>
  <si>
    <t>12167104-2</t>
  </si>
  <si>
    <t>Juan romeri sepulveda</t>
  </si>
  <si>
    <t>Erica Ducuara</t>
  </si>
  <si>
    <t xml:space="preserve">Christian salinas </t>
  </si>
  <si>
    <t>14304679-6</t>
  </si>
  <si>
    <t>Junior Lacouty</t>
  </si>
  <si>
    <t>23746058-8</t>
  </si>
  <si>
    <t xml:space="preserve">Luis Escobar </t>
  </si>
  <si>
    <t>19762332-2</t>
  </si>
  <si>
    <t>Eduardo Campusano Araya</t>
  </si>
  <si>
    <t>10772152-5</t>
  </si>
  <si>
    <t>hector muena</t>
  </si>
  <si>
    <t>11725762-2</t>
  </si>
  <si>
    <t>Claudio Aguilera Acevedo</t>
  </si>
  <si>
    <t>12249769-0</t>
  </si>
  <si>
    <t>Marvin Acevedo</t>
  </si>
  <si>
    <t>Pedro Emerson ossandon rodriguez</t>
  </si>
  <si>
    <t>Lourdie Charles Raphael</t>
  </si>
  <si>
    <t>26164102-k</t>
  </si>
  <si>
    <t>Victor teran</t>
  </si>
  <si>
    <t>juana vergara morales</t>
  </si>
  <si>
    <t>victor bastias</t>
  </si>
  <si>
    <t>11591518-5</t>
  </si>
  <si>
    <t>Carlos flores oviedo</t>
  </si>
  <si>
    <t xml:space="preserve">14065957-6 </t>
  </si>
  <si>
    <t>Mary Carmen Pontivo</t>
  </si>
  <si>
    <t>15403823-k</t>
  </si>
  <si>
    <t>Andrés Rivera</t>
  </si>
  <si>
    <t>12827544-4</t>
  </si>
  <si>
    <t xml:space="preserve">LORENA UGALDE </t>
  </si>
  <si>
    <t>12226889-6</t>
  </si>
  <si>
    <t>Deyanira Calvo Cubillos</t>
  </si>
  <si>
    <t>12607797-1</t>
  </si>
  <si>
    <t>Indique su nombre y apellido</t>
  </si>
  <si>
    <t>¿A qué región pertenece?</t>
  </si>
  <si>
    <t xml:space="preserve">Considerando su modalidad de trabajo durante 2022, le solicitamos que nos pueda indicar el porcentaje de tiempo estimado que realizó teletrabajo o trabajo presencial durante el año </t>
  </si>
  <si>
    <t>¿Qué método de transporte utilizó recurrentemente durante 2022 para llegar a su trabajo?</t>
  </si>
  <si>
    <t>Considerando su escenario en 2022 ¿Cuál es la cantidad de kilómetros (número) que existe entre su domicilio y su lugar de trabajo? (solo tramo de ida)</t>
  </si>
  <si>
    <t>Factor Teletrabajo</t>
  </si>
  <si>
    <t>Factor transporte</t>
  </si>
  <si>
    <t>km al año</t>
  </si>
  <si>
    <t>Propio/Externo</t>
  </si>
  <si>
    <t>Aldo Mellado</t>
  </si>
  <si>
    <t>12928849-3</t>
  </si>
  <si>
    <t>100% Presencial</t>
  </si>
  <si>
    <t>Propio</t>
  </si>
  <si>
    <t>Factor</t>
  </si>
  <si>
    <t xml:space="preserve">carolina tobar </t>
  </si>
  <si>
    <t>VI - Región del Libertador General Bernardo O´Higgins</t>
  </si>
  <si>
    <t>Días hábiles 2021</t>
  </si>
  <si>
    <t>RM - Región Metropolitana</t>
  </si>
  <si>
    <t>100% Teletrabajo</t>
  </si>
  <si>
    <t>Ninguno, pues realicé 100% teletrabajo</t>
  </si>
  <si>
    <t>Vacaciones</t>
  </si>
  <si>
    <t xml:space="preserve">Claudia Díaz </t>
  </si>
  <si>
    <t xml:space="preserve">27397550-0 </t>
  </si>
  <si>
    <t>IV - Región de Coquimbo</t>
  </si>
  <si>
    <t>Transporte público/bus de acercamiento</t>
  </si>
  <si>
    <t>Externo</t>
  </si>
  <si>
    <t>Nº colaboradores</t>
  </si>
  <si>
    <t>Gerardo Salgado Acuña</t>
  </si>
  <si>
    <t>10245528-2</t>
  </si>
  <si>
    <t>XVI - Región de Ñuble</t>
  </si>
  <si>
    <t>Camila Cadenasso</t>
  </si>
  <si>
    <t>17275196-2</t>
  </si>
  <si>
    <t>V - Región de Valparaíso</t>
  </si>
  <si>
    <t>Antonio Jiménez Valdes</t>
  </si>
  <si>
    <t>11970838-9</t>
  </si>
  <si>
    <t>60% Teletrabajo (2 días a la semana)</t>
  </si>
  <si>
    <t>Jocelyn Baeza</t>
  </si>
  <si>
    <t>13682912-2</t>
  </si>
  <si>
    <t>Nombre</t>
  </si>
  <si>
    <t>Jaime Lopez</t>
  </si>
  <si>
    <t>17429596-4</t>
  </si>
  <si>
    <t>Dennys Tovar</t>
  </si>
  <si>
    <t>Claudia Alvarez</t>
  </si>
  <si>
    <t>Mary Madero</t>
  </si>
  <si>
    <t>26855665-6</t>
  </si>
  <si>
    <t>Connie Salvo</t>
  </si>
  <si>
    <t>17533077-1</t>
  </si>
  <si>
    <t>Sebastian Poblete</t>
  </si>
  <si>
    <t>18229096-3</t>
  </si>
  <si>
    <t>IX - Región de la Araucanía</t>
  </si>
  <si>
    <t>gerardo dela paz</t>
  </si>
  <si>
    <t>12504274-0</t>
  </si>
  <si>
    <t>VII - Región del Maule</t>
  </si>
  <si>
    <t>Mauricio Bustamante</t>
  </si>
  <si>
    <t>15108965-8</t>
  </si>
  <si>
    <t>Oscar Espinoza</t>
  </si>
  <si>
    <t>12831533-0</t>
  </si>
  <si>
    <t xml:space="preserve">fabián jara </t>
  </si>
  <si>
    <t>16275881-0</t>
  </si>
  <si>
    <t>María de los Ángeles Araujo</t>
  </si>
  <si>
    <t>10987318-7</t>
  </si>
  <si>
    <t>Pabla morales faune</t>
  </si>
  <si>
    <t>cristian guerrero</t>
  </si>
  <si>
    <t>10197177-5</t>
  </si>
  <si>
    <t>Natalia Vera</t>
  </si>
  <si>
    <t>18123115-7</t>
  </si>
  <si>
    <t xml:space="preserve">Brenda Pérez </t>
  </si>
  <si>
    <t>Matias Ferrada</t>
  </si>
  <si>
    <t>16616025-1</t>
  </si>
  <si>
    <t xml:space="preserve"> Hugo Moya A.</t>
  </si>
  <si>
    <t>10585113-8</t>
  </si>
  <si>
    <t>Cecilia Romero Maya</t>
  </si>
  <si>
    <t>12617321-0</t>
  </si>
  <si>
    <t>rodrigo cea</t>
  </si>
  <si>
    <t>15910400-1</t>
  </si>
  <si>
    <t>valeska  beltran</t>
  </si>
  <si>
    <t>VIII - Región del Bío-Bío</t>
  </si>
  <si>
    <t>CAROL MATURANA</t>
  </si>
  <si>
    <t>12885671-4</t>
  </si>
  <si>
    <t>Aldo Gonzalez</t>
  </si>
  <si>
    <t>Jessica Rosales</t>
  </si>
  <si>
    <t>17669679-6</t>
  </si>
  <si>
    <t>Cristian Fuentealba Painen</t>
  </si>
  <si>
    <t>15654302-0</t>
  </si>
  <si>
    <t>RICARDO ALARCON</t>
  </si>
  <si>
    <t>17220705-7</t>
  </si>
  <si>
    <t>Sata Gallardo</t>
  </si>
  <si>
    <t>73127678-6</t>
  </si>
  <si>
    <t>Catalina Calderón</t>
  </si>
  <si>
    <t>19405579-k</t>
  </si>
  <si>
    <t xml:space="preserve">Leonel Zacarias Curillan Tralma </t>
  </si>
  <si>
    <t>17057389-7</t>
  </si>
  <si>
    <t>Diego Zamorano</t>
  </si>
  <si>
    <t>18593343-1</t>
  </si>
  <si>
    <t>Cesar Blanco lara</t>
  </si>
  <si>
    <t xml:space="preserve">Bárbara Toro Garcés </t>
  </si>
  <si>
    <t xml:space="preserve">Sebastian Cárdenas </t>
  </si>
  <si>
    <t xml:space="preserve">16119237-6 </t>
  </si>
  <si>
    <t>Claudia molina</t>
  </si>
  <si>
    <t xml:space="preserve">14360310-5 </t>
  </si>
  <si>
    <t>Juan mansilla ( encar spa)</t>
  </si>
  <si>
    <t>15298079-5</t>
  </si>
  <si>
    <t>X - Región de los Lagos</t>
  </si>
  <si>
    <t>Silvia donoso</t>
  </si>
  <si>
    <t>13055802-k</t>
  </si>
  <si>
    <t>Hector Delgado</t>
  </si>
  <si>
    <t>13817745-9</t>
  </si>
  <si>
    <t xml:space="preserve">Pablo vera Solís </t>
  </si>
  <si>
    <t>13970345-6</t>
  </si>
  <si>
    <t>XI - Región de Aysén</t>
  </si>
  <si>
    <t>Cesar blanco</t>
  </si>
  <si>
    <t>José Torres Salas</t>
  </si>
  <si>
    <t>JORGE SANCHEZ</t>
  </si>
  <si>
    <t>Daniel Cifuentes</t>
  </si>
  <si>
    <t>15953897-4</t>
  </si>
  <si>
    <t>ALEXANDER CABRERA</t>
  </si>
  <si>
    <t>Jorge Alcaino</t>
  </si>
  <si>
    <t>Gianna Giordano V.</t>
  </si>
  <si>
    <t>9407519-k</t>
  </si>
  <si>
    <t>victor riquelme</t>
  </si>
  <si>
    <t xml:space="preserve">Matias Gomez </t>
  </si>
  <si>
    <t xml:space="preserve">18156859-3 </t>
  </si>
  <si>
    <t>María Cristina Belmar F.</t>
  </si>
  <si>
    <t>Matías Gómez Zuñiga</t>
  </si>
  <si>
    <t>Nidia Sepulveda Cadiz</t>
  </si>
  <si>
    <t>Luis Arias</t>
  </si>
  <si>
    <t>10835188-8</t>
  </si>
  <si>
    <t>José Román hector cordero mendoza</t>
  </si>
  <si>
    <t>19093477-2</t>
  </si>
  <si>
    <t>Miguel pinto</t>
  </si>
  <si>
    <t>12029376-1</t>
  </si>
  <si>
    <t>I - Región de Tarapacá</t>
  </si>
  <si>
    <t>Haydee VillagraLara</t>
  </si>
  <si>
    <t>10653630-9</t>
  </si>
  <si>
    <t>Raúl alarcon</t>
  </si>
  <si>
    <t>18070465-5</t>
  </si>
  <si>
    <t>LUIS ARISMENDI</t>
  </si>
  <si>
    <t>26083249-2</t>
  </si>
  <si>
    <t>Pedro Barros</t>
  </si>
  <si>
    <t>16657978-3</t>
  </si>
  <si>
    <t>CARLSO CABELLO</t>
  </si>
  <si>
    <t xml:space="preserve">Hugo Moya </t>
  </si>
  <si>
    <t>Sebastian Delgado</t>
  </si>
  <si>
    <t>16028310-6</t>
  </si>
  <si>
    <t>Elias Lacamprett</t>
  </si>
  <si>
    <t>15353873-5</t>
  </si>
  <si>
    <t>mario reveco</t>
  </si>
  <si>
    <t>6925146-3</t>
  </si>
  <si>
    <t>pablo amad</t>
  </si>
  <si>
    <t>20082712-0</t>
  </si>
  <si>
    <t>Manuel Alberto Salgado Herrera</t>
  </si>
  <si>
    <t>7975944-9</t>
  </si>
  <si>
    <t>Alvaro Santibáñez</t>
  </si>
  <si>
    <t>15365053-5</t>
  </si>
  <si>
    <t>Cristian Vergaray</t>
  </si>
  <si>
    <t>16147356-1</t>
  </si>
  <si>
    <t>maria jose san martin</t>
  </si>
  <si>
    <t>Fabiola Muñoz</t>
  </si>
  <si>
    <t>12651410-7</t>
  </si>
  <si>
    <t>GABRIEL CONTRERAS GONZALEZ</t>
  </si>
  <si>
    <t>8204445-0</t>
  </si>
  <si>
    <t>gabriel contreras</t>
  </si>
  <si>
    <t>Esteban pezoa</t>
  </si>
  <si>
    <t>15074824-0</t>
  </si>
  <si>
    <t>yanith castillo</t>
  </si>
  <si>
    <t>335700759-9</t>
  </si>
  <si>
    <t>camila guajardo</t>
  </si>
  <si>
    <t xml:space="preserve">Alejandro Hurtado </t>
  </si>
  <si>
    <t>15737550-4</t>
  </si>
  <si>
    <t>AUXILIADORA SANDOVAL LEDESMA</t>
  </si>
  <si>
    <t>14718348-8</t>
  </si>
  <si>
    <t>Vehículo eléctrico - Uso Individual</t>
  </si>
  <si>
    <t>Felipe Godoy</t>
  </si>
  <si>
    <t>DAVID OLAVE</t>
  </si>
  <si>
    <t>16033937-3</t>
  </si>
  <si>
    <t>Claudia Llaguento</t>
  </si>
  <si>
    <t>26574152-5</t>
  </si>
  <si>
    <t>Marcelo catalán reyes</t>
  </si>
  <si>
    <t>10433926-3</t>
  </si>
  <si>
    <t>Ivana Alvear</t>
  </si>
  <si>
    <t>17227462-5</t>
  </si>
  <si>
    <t>Claudio Muñoz</t>
  </si>
  <si>
    <t>Gabriela Silva</t>
  </si>
  <si>
    <t>15529275-k</t>
  </si>
  <si>
    <t>Jorge Videla</t>
  </si>
  <si>
    <t>17033075-7</t>
  </si>
  <si>
    <t>Angélica López</t>
  </si>
  <si>
    <t>12591134-k</t>
  </si>
  <si>
    <t>Nicole Balle</t>
  </si>
  <si>
    <t>19536412-5</t>
  </si>
  <si>
    <t>KAREN MEYER</t>
  </si>
  <si>
    <t>15208612-1</t>
  </si>
  <si>
    <t>Sebastián Ferrada</t>
  </si>
  <si>
    <t>17159725-0</t>
  </si>
  <si>
    <t>Angelly Cornejo</t>
  </si>
  <si>
    <t>17404789-8</t>
  </si>
  <si>
    <t>Luis Chacón Pita</t>
  </si>
  <si>
    <t>Claudio Roman</t>
  </si>
  <si>
    <t>12822150-6</t>
  </si>
  <si>
    <t>Jorge Labra</t>
  </si>
  <si>
    <t>18061093-6</t>
  </si>
  <si>
    <t>María Ignacia Figueroa</t>
  </si>
  <si>
    <t>17168104-9</t>
  </si>
  <si>
    <t>karina Montes Colombo</t>
  </si>
  <si>
    <t>12356216-k</t>
  </si>
  <si>
    <t>Marcia Cid</t>
  </si>
  <si>
    <t>13383176-2</t>
  </si>
  <si>
    <t>Felipe Diaz</t>
  </si>
  <si>
    <t>18022622-2</t>
  </si>
  <si>
    <t>SOLANGE MC GUIRE</t>
  </si>
  <si>
    <t>15465335-K</t>
  </si>
  <si>
    <t>XII - Región de Magallanes y la Antartica Chilena</t>
  </si>
  <si>
    <t>PAULA RIVERA</t>
  </si>
  <si>
    <t>18382789-8</t>
  </si>
  <si>
    <t>Paulina Ormazabal</t>
  </si>
  <si>
    <t>13051295-K</t>
  </si>
  <si>
    <t>Rodrigo Carrasco</t>
  </si>
  <si>
    <t>13757648-1</t>
  </si>
  <si>
    <t>bbosque@chilexpress.cl</t>
  </si>
  <si>
    <t>jacqueline sazo</t>
  </si>
  <si>
    <t>Victor Espinosa</t>
  </si>
  <si>
    <t>12953799-K</t>
  </si>
  <si>
    <t>Lucila Toro</t>
  </si>
  <si>
    <t>17837108-8</t>
  </si>
  <si>
    <t>Sebastian Blamey</t>
  </si>
  <si>
    <t>16733697-3</t>
  </si>
  <si>
    <t xml:space="preserve">Ignacio Ramírez </t>
  </si>
  <si>
    <t>22712901-8</t>
  </si>
  <si>
    <t>Francisco Leiva</t>
  </si>
  <si>
    <t>16608888-7</t>
  </si>
  <si>
    <t>ANA GUANIPA</t>
  </si>
  <si>
    <t>26533417-2</t>
  </si>
  <si>
    <t>DAIANA VELASQUEZ</t>
  </si>
  <si>
    <t>26935013-K</t>
  </si>
  <si>
    <t>XIV - Región de los Rios</t>
  </si>
  <si>
    <t>Cristián González Garay</t>
  </si>
  <si>
    <t>15097530-1</t>
  </si>
  <si>
    <t>NATALY GALARZA</t>
  </si>
  <si>
    <t>26266116-4</t>
  </si>
  <si>
    <t>Daniela Avendaño</t>
  </si>
  <si>
    <t>14177526-K</t>
  </si>
  <si>
    <t xml:space="preserve">Cristian Fuentealba </t>
  </si>
  <si>
    <t>Oscar Hernandez</t>
  </si>
  <si>
    <t>15513035-0</t>
  </si>
  <si>
    <t>Lorena Pizarro</t>
  </si>
  <si>
    <t>15352801-2</t>
  </si>
  <si>
    <t>claudio cpeña</t>
  </si>
  <si>
    <t>YOSELYN BORRERO D</t>
  </si>
  <si>
    <t>26975317-K</t>
  </si>
  <si>
    <t>Guillermo lagos</t>
  </si>
  <si>
    <t>Paula Díaz</t>
  </si>
  <si>
    <t>Jorge Silva</t>
  </si>
  <si>
    <t xml:space="preserve">Nancy viviana burgos Muñoz </t>
  </si>
  <si>
    <t xml:space="preserve">15515400-4 </t>
  </si>
  <si>
    <t>III - Región de Atacama</t>
  </si>
  <si>
    <t>Mario Moyano</t>
  </si>
  <si>
    <t>12604063-6</t>
  </si>
  <si>
    <t>Harry vasquez</t>
  </si>
  <si>
    <t>Ignacio Serrano</t>
  </si>
  <si>
    <t>Johan rivera</t>
  </si>
  <si>
    <t>14434781-1</t>
  </si>
  <si>
    <t>II - Región de Antofagasta</t>
  </si>
  <si>
    <t>Gaston Portilla</t>
  </si>
  <si>
    <t>12219440-k</t>
  </si>
  <si>
    <t xml:space="preserve">SOLEDAD QUIROZ </t>
  </si>
  <si>
    <t>12099116-7</t>
  </si>
  <si>
    <t>ISABEL FLORES</t>
  </si>
  <si>
    <t>11220761-9</t>
  </si>
  <si>
    <t>Michely Norambuena</t>
  </si>
  <si>
    <t>Romina González</t>
  </si>
  <si>
    <t>16554449-8</t>
  </si>
  <si>
    <t>Paulo Urbina</t>
  </si>
  <si>
    <t>24215675-7</t>
  </si>
  <si>
    <t>Alexander Asencio</t>
  </si>
  <si>
    <t>16893850-0</t>
  </si>
  <si>
    <t>Diego Salinas</t>
  </si>
  <si>
    <t>18013841-2</t>
  </si>
  <si>
    <t>Oscar Pasten</t>
  </si>
  <si>
    <t>13177866-K</t>
  </si>
  <si>
    <t>ALEXANDER NEIRA</t>
  </si>
  <si>
    <t>19137913-6</t>
  </si>
  <si>
    <t xml:space="preserve">Mauricio Avila </t>
  </si>
  <si>
    <t>13311826-8</t>
  </si>
  <si>
    <t>cristian prado</t>
  </si>
  <si>
    <t>14565633-8</t>
  </si>
  <si>
    <t>Ruth Yévenes</t>
  </si>
  <si>
    <t>13239561-6</t>
  </si>
  <si>
    <t>cristian mendez</t>
  </si>
  <si>
    <t>12018991-3</t>
  </si>
  <si>
    <t>Claudio Vera</t>
  </si>
  <si>
    <t>8454878-2</t>
  </si>
  <si>
    <t>aldo lazo</t>
  </si>
  <si>
    <t>15622897-4</t>
  </si>
  <si>
    <t>Cesar gonzalez</t>
  </si>
  <si>
    <t>16976926-5</t>
  </si>
  <si>
    <t>Nataly Galarza</t>
  </si>
  <si>
    <t>Michael Neira</t>
  </si>
  <si>
    <t>15222944-5</t>
  </si>
  <si>
    <t>Joselyn Pacheco</t>
  </si>
  <si>
    <t>16160522-0</t>
  </si>
  <si>
    <t>Yoselyn Borrero</t>
  </si>
  <si>
    <t>26975317-k</t>
  </si>
  <si>
    <t>Sebastián Soto</t>
  </si>
  <si>
    <t>18532938-0</t>
  </si>
  <si>
    <t>Teresa Yolanda de las Mercedes Sánchez Martínez</t>
  </si>
  <si>
    <t>27189862-2</t>
  </si>
  <si>
    <t>JOHANNA BRITO</t>
  </si>
  <si>
    <t>13460879-K</t>
  </si>
  <si>
    <t>joaquin foppiano</t>
  </si>
  <si>
    <t>Cristian Borquez</t>
  </si>
  <si>
    <t>15534278-1</t>
  </si>
  <si>
    <t>felipe perez</t>
  </si>
  <si>
    <t>16407624-5</t>
  </si>
  <si>
    <t>13460879K</t>
  </si>
  <si>
    <t>VERONICA FRANCO</t>
  </si>
  <si>
    <t>8311687-0</t>
  </si>
  <si>
    <t xml:space="preserve">Ricardo Loyola </t>
  </si>
  <si>
    <t>10704373-k</t>
  </si>
  <si>
    <t>pamela de la fuente grandy</t>
  </si>
  <si>
    <t>Claudio Díaz</t>
  </si>
  <si>
    <t>26479483-8</t>
  </si>
  <si>
    <t>Nicolas Sanchez</t>
  </si>
  <si>
    <t>16840516-2</t>
  </si>
  <si>
    <t>Victor</t>
  </si>
  <si>
    <t>14362284-3</t>
  </si>
  <si>
    <t>Tommy Niño</t>
  </si>
  <si>
    <t>jonathan Illanes</t>
  </si>
  <si>
    <t>15928678-9</t>
  </si>
  <si>
    <t>Victor Plaza</t>
  </si>
  <si>
    <t>16623237-6</t>
  </si>
  <si>
    <t>Glynis Bravo Godoy</t>
  </si>
  <si>
    <t>109987050-0</t>
  </si>
  <si>
    <t>Ismael Lescano</t>
  </si>
  <si>
    <t>27383031-6</t>
  </si>
  <si>
    <t xml:space="preserve">Luis Fernando Ávila Provoste </t>
  </si>
  <si>
    <t xml:space="preserve">10413451-3 </t>
  </si>
  <si>
    <t>Giorgio Viccione Parra</t>
  </si>
  <si>
    <t>26077396-8</t>
  </si>
  <si>
    <t xml:space="preserve">Gabriel villarroel </t>
  </si>
  <si>
    <t>16101202-5</t>
  </si>
  <si>
    <t>Karina Molina</t>
  </si>
  <si>
    <t>15377689-k</t>
  </si>
  <si>
    <t xml:space="preserve">Carlos flores </t>
  </si>
  <si>
    <t>14065957-6</t>
  </si>
  <si>
    <t>Eleanor Zuñiga</t>
  </si>
  <si>
    <t>9305762-7</t>
  </si>
  <si>
    <t>crstian lopez</t>
  </si>
  <si>
    <t>11828153-5</t>
  </si>
  <si>
    <t>12219472-8</t>
  </si>
  <si>
    <t>Barbara Mansilla</t>
  </si>
  <si>
    <t>18346133-8</t>
  </si>
  <si>
    <t>Andrea Caro</t>
  </si>
  <si>
    <t>13244192-8</t>
  </si>
  <si>
    <t>Jose Pablo Berardi</t>
  </si>
  <si>
    <t>Belarmino Almonacid</t>
  </si>
  <si>
    <t>19368911-6</t>
  </si>
  <si>
    <t>Patricia Hernandez</t>
  </si>
  <si>
    <t>12496129-7</t>
  </si>
  <si>
    <t>Lautaro Carrasco Mundaca</t>
  </si>
  <si>
    <t>13314977-5</t>
  </si>
  <si>
    <t>ivan maldonado</t>
  </si>
  <si>
    <t>7488176-9</t>
  </si>
  <si>
    <t>daniel maldonado</t>
  </si>
  <si>
    <t>17740685-6</t>
  </si>
  <si>
    <t>Hector muena</t>
  </si>
  <si>
    <t xml:space="preserve">Sergio Mella </t>
  </si>
  <si>
    <t>16155351-4</t>
  </si>
  <si>
    <t>Fernanda Jerez</t>
  </si>
  <si>
    <t>18670100-3</t>
  </si>
  <si>
    <t>Ivan Martinez</t>
  </si>
  <si>
    <t>Ninoska Toledo</t>
  </si>
  <si>
    <t>21306719-2</t>
  </si>
  <si>
    <t xml:space="preserve">Francisca Arias </t>
  </si>
  <si>
    <t>nolasco toro</t>
  </si>
  <si>
    <t>14340388-2</t>
  </si>
  <si>
    <t>Daniel Marin</t>
  </si>
  <si>
    <t xml:space="preserve">Pascual Carmona </t>
  </si>
  <si>
    <t xml:space="preserve">Denisse Reyes Vergara </t>
  </si>
  <si>
    <t>17806146-1</t>
  </si>
  <si>
    <t>valentina cofre</t>
  </si>
  <si>
    <t>19939978-0</t>
  </si>
  <si>
    <t>VALENTINA COFRE MATUS</t>
  </si>
  <si>
    <t>Carolina Salazar</t>
  </si>
  <si>
    <t>13691925-3</t>
  </si>
  <si>
    <t>Richard Monasterio Castro</t>
  </si>
  <si>
    <t>Tomas Salas</t>
  </si>
  <si>
    <t>Valeria Monreal</t>
  </si>
  <si>
    <t>13461322-K</t>
  </si>
  <si>
    <t>Domingo Marotta</t>
  </si>
  <si>
    <t>27089984-6</t>
  </si>
  <si>
    <t>Mayra Buenaño</t>
  </si>
  <si>
    <t>27131845-6</t>
  </si>
  <si>
    <t>Natalia Altamira</t>
  </si>
  <si>
    <t>14123456-0</t>
  </si>
  <si>
    <t>AMILCAR JOSE</t>
  </si>
  <si>
    <t>27200009-3</t>
  </si>
  <si>
    <t>Alejandra Omana</t>
  </si>
  <si>
    <t>27546044-3</t>
  </si>
  <si>
    <t>José Jones</t>
  </si>
  <si>
    <t>Marco Valdivia</t>
  </si>
  <si>
    <t>20417347-8</t>
  </si>
  <si>
    <t>Jenniser Cadet</t>
  </si>
  <si>
    <t>16015519-1</t>
  </si>
  <si>
    <t>KATERINE DIAZ</t>
  </si>
  <si>
    <t>13330481-9</t>
  </si>
  <si>
    <t>Héctor Navarrete</t>
  </si>
  <si>
    <t>15419493-2</t>
  </si>
  <si>
    <t>Thiare Fuenzalida</t>
  </si>
  <si>
    <t>19257758-6</t>
  </si>
  <si>
    <t>claudina Pérez</t>
  </si>
  <si>
    <t>11048271-k</t>
  </si>
  <si>
    <t>Maria Alcaman</t>
  </si>
  <si>
    <t>Carlos Donaire</t>
  </si>
  <si>
    <t>7407748-k</t>
  </si>
  <si>
    <t>brenda velasquez</t>
  </si>
  <si>
    <t>17942139-9</t>
  </si>
  <si>
    <t>mauricio mancilla</t>
  </si>
  <si>
    <t>16113030-3</t>
  </si>
  <si>
    <t>MARCELA BAEZA</t>
  </si>
  <si>
    <t>13926716-8</t>
  </si>
  <si>
    <t>Jose Ortega Cifuentes</t>
  </si>
  <si>
    <t>Maria Castellanos</t>
  </si>
  <si>
    <t>patricia caro</t>
  </si>
  <si>
    <t>10809291-2</t>
  </si>
  <si>
    <t>Vehículo eléctrico - Uso Compartido</t>
  </si>
  <si>
    <t>Hugo Castro</t>
  </si>
  <si>
    <t>15871407-8</t>
  </si>
  <si>
    <t>Glenn Morillo</t>
  </si>
  <si>
    <t>44259660-3</t>
  </si>
  <si>
    <t>Sergio Mellico</t>
  </si>
  <si>
    <t>19428172-2</t>
  </si>
  <si>
    <t xml:space="preserve">Albert Schweitzer </t>
  </si>
  <si>
    <t>17347529-2</t>
  </si>
  <si>
    <t>Victor Fermin</t>
  </si>
  <si>
    <t>26576204-2</t>
  </si>
  <si>
    <t xml:space="preserve">Natalia Moreno Farias </t>
  </si>
  <si>
    <t>Germán Yáñez</t>
  </si>
  <si>
    <t>13469875-6</t>
  </si>
  <si>
    <t>paula vaisman</t>
  </si>
  <si>
    <t>10682389-8</t>
  </si>
  <si>
    <t>Pedro Abarca</t>
  </si>
  <si>
    <t>13539443-2</t>
  </si>
  <si>
    <t>Gustavo Muñoz</t>
  </si>
  <si>
    <t>Paula Rivera Oberg</t>
  </si>
  <si>
    <t>19183863-7</t>
  </si>
  <si>
    <t>Gustavo Vlanezuela Correa</t>
  </si>
  <si>
    <t>15079453-6</t>
  </si>
  <si>
    <t>Carlos Villalobos</t>
  </si>
  <si>
    <t>17808414-3</t>
  </si>
  <si>
    <t>Karina Labraña</t>
  </si>
  <si>
    <t>20144609-0</t>
  </si>
  <si>
    <t>EVELYN TAPIA</t>
  </si>
  <si>
    <t>16260501-1</t>
  </si>
  <si>
    <t>elisa noemi cid barrientos</t>
  </si>
  <si>
    <t>19641833-4</t>
  </si>
  <si>
    <t>sabina alvarez</t>
  </si>
  <si>
    <t>8415733-3</t>
  </si>
  <si>
    <t xml:space="preserve">Laura Prado </t>
  </si>
  <si>
    <t>26164289-1</t>
  </si>
  <si>
    <t>Juan Fabian  Orellana Condori</t>
  </si>
  <si>
    <t>Marcela Guajardo</t>
  </si>
  <si>
    <t>19829191-9</t>
  </si>
  <si>
    <t>ASTRID ARAVENA</t>
  </si>
  <si>
    <t>16085682-3</t>
  </si>
  <si>
    <t>Claudio varas</t>
  </si>
  <si>
    <t xml:space="preserve">José Luis Jury Venegas </t>
  </si>
  <si>
    <t>8310231-4</t>
  </si>
  <si>
    <t>Roberto Lazo</t>
  </si>
  <si>
    <t>12903887-k</t>
  </si>
  <si>
    <t>Juan Orellana</t>
  </si>
  <si>
    <t>Benjamin valdivia</t>
  </si>
  <si>
    <t>20268645-1</t>
  </si>
  <si>
    <t>ingrid basualto torres</t>
  </si>
  <si>
    <t>14198976-6</t>
  </si>
  <si>
    <t>marcelo soto</t>
  </si>
  <si>
    <t>13656145-6</t>
  </si>
  <si>
    <t>carmen salgado arias</t>
  </si>
  <si>
    <t>14437417-7</t>
  </si>
  <si>
    <t>15896418-K</t>
  </si>
  <si>
    <t>Hernán Hidalgo Moraga</t>
  </si>
  <si>
    <t>8935099-9</t>
  </si>
  <si>
    <t>Alex Chavez</t>
  </si>
  <si>
    <t>10637088-5</t>
  </si>
  <si>
    <t>Adolfo Cataldo</t>
  </si>
  <si>
    <t>JONATHAN ALEXIS SILVA GRANDON</t>
  </si>
  <si>
    <t>gonzal,o tolosa</t>
  </si>
  <si>
    <t>14507957-8</t>
  </si>
  <si>
    <t>FELIPE VILLALOBOS</t>
  </si>
  <si>
    <t>18781198-8</t>
  </si>
  <si>
    <t>Claudio Quiroz</t>
  </si>
  <si>
    <t>19744463-0</t>
  </si>
  <si>
    <t>matias illanes</t>
  </si>
  <si>
    <t>18501976-4</t>
  </si>
  <si>
    <t>Luis Jofre</t>
  </si>
  <si>
    <t>Jennyfer Lopez</t>
  </si>
  <si>
    <t>Rodrigo Gutiérrez</t>
  </si>
  <si>
    <t xml:space="preserve">camilo Espinoza mora </t>
  </si>
  <si>
    <t>17307076-4</t>
  </si>
  <si>
    <t>ALEX SOLAR</t>
  </si>
  <si>
    <t>11936614-3</t>
  </si>
  <si>
    <t>Denisse Pizarro diaz</t>
  </si>
  <si>
    <t>Benjamin Ramirez</t>
  </si>
  <si>
    <t>20327706-7</t>
  </si>
  <si>
    <t>Claudio Cerda</t>
  </si>
  <si>
    <t>20947171-K</t>
  </si>
  <si>
    <t>hoover restrepo</t>
  </si>
  <si>
    <t>14560502-4</t>
  </si>
  <si>
    <t>SCARLETT MEZA BALLADARES</t>
  </si>
  <si>
    <t>13786097K</t>
  </si>
  <si>
    <t xml:space="preserve">Laura Troncoso </t>
  </si>
  <si>
    <t>12921970-k</t>
  </si>
  <si>
    <t>Yocelyn castro</t>
  </si>
  <si>
    <t>alfredo andrade</t>
  </si>
  <si>
    <t>16338149-4</t>
  </si>
  <si>
    <t>abel cifuentes</t>
  </si>
  <si>
    <t>13993932-8</t>
  </si>
  <si>
    <t xml:space="preserve">15786255-3 </t>
  </si>
  <si>
    <t xml:space="preserve">Elizabeth Gallardo Espinoza </t>
  </si>
  <si>
    <t>16680597-k</t>
  </si>
  <si>
    <t>Hermes Hume</t>
  </si>
  <si>
    <t>17517534-2</t>
  </si>
  <si>
    <t>Alex  Chavez</t>
  </si>
  <si>
    <t>Milenka milla cruces</t>
  </si>
  <si>
    <t xml:space="preserve">16076285-3 </t>
  </si>
  <si>
    <t>Enzo olave</t>
  </si>
  <si>
    <t>10182897-2</t>
  </si>
  <si>
    <t>Hernán Azócar</t>
  </si>
  <si>
    <t>18757322-k</t>
  </si>
  <si>
    <t>Gisselle Burgos</t>
  </si>
  <si>
    <t>18340560-8</t>
  </si>
  <si>
    <t>26849181-3</t>
  </si>
  <si>
    <t xml:space="preserve">Ernesto Guerrero </t>
  </si>
  <si>
    <t>15586090-1</t>
  </si>
  <si>
    <t>Cristian Valenzuela</t>
  </si>
  <si>
    <t>19343087-2</t>
  </si>
  <si>
    <t>Danilo Muñoz</t>
  </si>
  <si>
    <t>17910262-5</t>
  </si>
  <si>
    <t>ANGI PALACIOS</t>
  </si>
  <si>
    <t>27185182-0</t>
  </si>
  <si>
    <t>Marcelo Barrales</t>
  </si>
  <si>
    <t>18513194-7</t>
  </si>
  <si>
    <t>Bernardita Schnake</t>
  </si>
  <si>
    <t>17959776-4</t>
  </si>
  <si>
    <t>Terina vega</t>
  </si>
  <si>
    <t>25447078-3</t>
  </si>
  <si>
    <t xml:space="preserve">Matias Bravo </t>
  </si>
  <si>
    <t>21158659-1</t>
  </si>
  <si>
    <t>XIMENA CASTILLO</t>
  </si>
  <si>
    <t>Nataly Valdecchy</t>
  </si>
  <si>
    <t>XV - Región de Arica y PArinacota</t>
  </si>
  <si>
    <t>Camilo González</t>
  </si>
  <si>
    <t>17861581-5</t>
  </si>
  <si>
    <t>Nicolás Rojas</t>
  </si>
  <si>
    <t>19740267-9</t>
  </si>
  <si>
    <t xml:space="preserve">Emilio fica </t>
  </si>
  <si>
    <t>19480781-3</t>
  </si>
  <si>
    <t>Tannia Meza</t>
  </si>
  <si>
    <t>17433525-7</t>
  </si>
  <si>
    <t>hector orostegui</t>
  </si>
  <si>
    <t>7340130-5</t>
  </si>
  <si>
    <t>Mariajosé Carmona Gil.</t>
  </si>
  <si>
    <t>25182584-7</t>
  </si>
  <si>
    <t>Alex Bravo</t>
  </si>
  <si>
    <t>19277287-7</t>
  </si>
  <si>
    <t>Mauricio hernandez</t>
  </si>
  <si>
    <t>20384882-k</t>
  </si>
  <si>
    <t>BLANCA VALERIA ESPINOZA GONZALEZ</t>
  </si>
  <si>
    <t>13505080-6</t>
  </si>
  <si>
    <t>loren acuña carrillo</t>
  </si>
  <si>
    <t>11228108-8</t>
  </si>
  <si>
    <t>Carlos rivera</t>
  </si>
  <si>
    <t>12981336-9</t>
  </si>
  <si>
    <t>JAVIER VICUÑA MORENO</t>
  </si>
  <si>
    <t>14081600-0</t>
  </si>
  <si>
    <t>Eduardo Arriagada Navia</t>
  </si>
  <si>
    <t>15784729-5</t>
  </si>
  <si>
    <t xml:space="preserve">Eduardo consuegra </t>
  </si>
  <si>
    <t>15469167-7</t>
  </si>
  <si>
    <t>Julio Slater</t>
  </si>
  <si>
    <t>JACQUELINE JARA JARA</t>
  </si>
  <si>
    <t>cecilia cuevas</t>
  </si>
  <si>
    <t>12405332-3</t>
  </si>
  <si>
    <t>Victor Dominguez</t>
  </si>
  <si>
    <t>Cristóbal Lyon</t>
  </si>
  <si>
    <t>juan caris</t>
  </si>
  <si>
    <t>15919207-5</t>
  </si>
  <si>
    <t>OLAYA VERA</t>
  </si>
  <si>
    <t>11921131-K</t>
  </si>
  <si>
    <t>Víctor ortiz</t>
  </si>
  <si>
    <t>12312771-4</t>
  </si>
  <si>
    <t>liliana campos hernandez</t>
  </si>
  <si>
    <t>13450780-2</t>
  </si>
  <si>
    <t>Eduardo Navarro</t>
  </si>
  <si>
    <t>16795405-7</t>
  </si>
  <si>
    <t>Felipe Cariaga</t>
  </si>
  <si>
    <t>26696217-7</t>
  </si>
  <si>
    <t>Nick Morillo</t>
  </si>
  <si>
    <t>26056695-4</t>
  </si>
  <si>
    <t>Juan olmedo silva</t>
  </si>
  <si>
    <t>7017209-7</t>
  </si>
  <si>
    <t>Lucrecia Quezada Baier</t>
  </si>
  <si>
    <t>11907710-9</t>
  </si>
  <si>
    <t>carla reyes</t>
  </si>
  <si>
    <t>26917114-6</t>
  </si>
  <si>
    <t>CLAUDIA KASIC</t>
  </si>
  <si>
    <t xml:space="preserve">Alexis Campos </t>
  </si>
  <si>
    <t>13724354-7</t>
  </si>
  <si>
    <t>maritza marcela castillo lopez</t>
  </si>
  <si>
    <t>11508735-5</t>
  </si>
  <si>
    <t>Andrés Gruettner</t>
  </si>
  <si>
    <t>15105626-1</t>
  </si>
  <si>
    <t>Daniel Saavedra</t>
  </si>
  <si>
    <t>15372119-k</t>
  </si>
  <si>
    <t>Diego Hueche</t>
  </si>
  <si>
    <t>17121635-4</t>
  </si>
  <si>
    <t>Lucia Salazar</t>
  </si>
  <si>
    <t>9845356-3</t>
  </si>
  <si>
    <t xml:space="preserve">Francisco Ramos </t>
  </si>
  <si>
    <t>14390502-0</t>
  </si>
  <si>
    <t>emilio zavala</t>
  </si>
  <si>
    <t>17014508-9</t>
  </si>
  <si>
    <t>Claudia Parra Escobar</t>
  </si>
  <si>
    <t>16061144-8</t>
  </si>
  <si>
    <t>Irno Jara</t>
  </si>
  <si>
    <t>9235372-9</t>
  </si>
  <si>
    <t>daniel araya</t>
  </si>
  <si>
    <t>18009978-6</t>
  </si>
  <si>
    <t>Pablo  Hermosilla</t>
  </si>
  <si>
    <t>CARLOS PIÑA</t>
  </si>
  <si>
    <t>27046989-2</t>
  </si>
  <si>
    <t>julio slater lizana</t>
  </si>
  <si>
    <t>SUSANA CANALES AGUIRRE</t>
  </si>
  <si>
    <t>12211774-k</t>
  </si>
  <si>
    <t>XV - Región de Arica y Parinacota</t>
  </si>
  <si>
    <t>SERGIO TAPIA MARTINEZ</t>
  </si>
  <si>
    <t>12150951-2</t>
  </si>
  <si>
    <t xml:space="preserve">lorena donoso donoso </t>
  </si>
  <si>
    <t>13348490-6</t>
  </si>
  <si>
    <t>Hugo Paz</t>
  </si>
  <si>
    <t>17704189-0</t>
  </si>
  <si>
    <t>Claudia Estevez</t>
  </si>
  <si>
    <t>19658003-4</t>
  </si>
  <si>
    <t>patricio vera</t>
  </si>
  <si>
    <t>9173205-k</t>
  </si>
  <si>
    <t xml:space="preserve">Pamela Martínez </t>
  </si>
  <si>
    <t>13434299-4</t>
  </si>
  <si>
    <t>Elizabeth Rodriguez Ll</t>
  </si>
  <si>
    <t>9248472-6</t>
  </si>
  <si>
    <t xml:space="preserve">Osvaldo Rojas </t>
  </si>
  <si>
    <t>13315145-1</t>
  </si>
  <si>
    <t>Jose Luis Oyarzo C</t>
  </si>
  <si>
    <t>8103785-K</t>
  </si>
  <si>
    <t>Gloria Barros</t>
  </si>
  <si>
    <t>15511835-0</t>
  </si>
  <si>
    <t>Maria Elena Matus</t>
  </si>
  <si>
    <t>Fabian Carrasco</t>
  </si>
  <si>
    <t>10831522-9</t>
  </si>
  <si>
    <t xml:space="preserve">José Ignacio gallegos Fernández </t>
  </si>
  <si>
    <t>19476698-k</t>
  </si>
  <si>
    <t>LUIS COFRE GARRIDO</t>
  </si>
  <si>
    <t>victor arellano</t>
  </si>
  <si>
    <t>17680542-0</t>
  </si>
  <si>
    <t>Kevin Sobarzo</t>
  </si>
  <si>
    <t>18727898-8</t>
  </si>
  <si>
    <t>lorena donoso</t>
  </si>
  <si>
    <t>Claudia Diaz Figueroa</t>
  </si>
  <si>
    <t>12129641-1</t>
  </si>
  <si>
    <t>Carol Quezada</t>
  </si>
  <si>
    <t>17040032-1</t>
  </si>
  <si>
    <t>Gabriela Riquelme</t>
  </si>
  <si>
    <t>17757136-9</t>
  </si>
  <si>
    <t xml:space="preserve">César Tiznado Alarcon </t>
  </si>
  <si>
    <t>Andy Inostroza</t>
  </si>
  <si>
    <t>18409446-0</t>
  </si>
  <si>
    <t>RAQUEL BARRERA</t>
  </si>
  <si>
    <t>5494301-6</t>
  </si>
  <si>
    <t>RAQUEL MARTINEZ</t>
  </si>
  <si>
    <t>14394771-8</t>
  </si>
  <si>
    <t>VANESSA DIAZ</t>
  </si>
  <si>
    <t>Alan Brauer</t>
  </si>
  <si>
    <t>18405625-9</t>
  </si>
  <si>
    <t>Cristian tapia</t>
  </si>
  <si>
    <t>14308592-9</t>
  </si>
  <si>
    <t>ANGELA VARGAS RUIZ</t>
  </si>
  <si>
    <t>Francisca Araya</t>
  </si>
  <si>
    <t>Juan Cesar Oyarzun</t>
  </si>
  <si>
    <t>8958915-0</t>
  </si>
  <si>
    <t>CONSTANZA GALAZ ACEVEDO</t>
  </si>
  <si>
    <t>16935001-9</t>
  </si>
  <si>
    <t>MARILYN MONTILLA</t>
  </si>
  <si>
    <t>26161516-9</t>
  </si>
  <si>
    <t>Boris Araya</t>
  </si>
  <si>
    <t>PATRICIA RIVERA</t>
  </si>
  <si>
    <t>9244214-4</t>
  </si>
  <si>
    <t>Gennesis Rodriguez</t>
  </si>
  <si>
    <t>17810616-3</t>
  </si>
  <si>
    <t>MABEL APABLAZA</t>
  </si>
  <si>
    <t>9227250-8</t>
  </si>
  <si>
    <t>Diego Bravo</t>
  </si>
  <si>
    <t>19064458-8</t>
  </si>
  <si>
    <t xml:space="preserve">MARIA SOLEDAD HENRIQUEZ SANTIBAÑEZ </t>
  </si>
  <si>
    <t>12261868-4</t>
  </si>
  <si>
    <t>Carmen Mejías</t>
  </si>
  <si>
    <t>10788630-3</t>
  </si>
  <si>
    <t>Luis Martinez</t>
  </si>
  <si>
    <t>13612875-2</t>
  </si>
  <si>
    <t>Héctor Eduardo Alfaro Muñoz</t>
  </si>
  <si>
    <t>Emil Ramos</t>
  </si>
  <si>
    <t>26024569-4</t>
  </si>
  <si>
    <t>GABRIEL PORTORELLI PALACIOS</t>
  </si>
  <si>
    <t>8684346-3</t>
  </si>
  <si>
    <t>Mariela Herrera Tello</t>
  </si>
  <si>
    <t>16622792-5</t>
  </si>
  <si>
    <t>patricio rodriguez</t>
  </si>
  <si>
    <t>4878499-2</t>
  </si>
  <si>
    <t>olga soto</t>
  </si>
  <si>
    <t>10492985-0</t>
  </si>
  <si>
    <t>Lorena Zambra</t>
  </si>
  <si>
    <t>Georgina Lara</t>
  </si>
  <si>
    <t>13091550-7</t>
  </si>
  <si>
    <t>constanza vera</t>
  </si>
  <si>
    <t>19296311-7</t>
  </si>
  <si>
    <t>Camila Meza Aravena</t>
  </si>
  <si>
    <t>18526137-9</t>
  </si>
  <si>
    <t>Luis acevedo</t>
  </si>
  <si>
    <t>16674900-K</t>
  </si>
  <si>
    <t>Emilio nuñez</t>
  </si>
  <si>
    <t>16495350-5</t>
  </si>
  <si>
    <t>Judith Bacho Herrera</t>
  </si>
  <si>
    <t>6904160-4</t>
  </si>
  <si>
    <t>Marianela Pastene</t>
  </si>
  <si>
    <t>10914752-4</t>
  </si>
  <si>
    <t>Ana Maria Ibacache Ortiz</t>
  </si>
  <si>
    <t>9443367-3</t>
  </si>
  <si>
    <t xml:space="preserve">Rosa garcia </t>
  </si>
  <si>
    <t xml:space="preserve">5488719-1 </t>
  </si>
  <si>
    <t>13540211-0</t>
  </si>
  <si>
    <t xml:space="preserve">Patricia Romero Arenas </t>
  </si>
  <si>
    <t xml:space="preserve">Carolina Cortés </t>
  </si>
  <si>
    <t>19692070-6</t>
  </si>
  <si>
    <t xml:space="preserve">Viviana Ibarra Espinoza </t>
  </si>
  <si>
    <t>8433160-0</t>
  </si>
  <si>
    <t>Maria Soledad Friz</t>
  </si>
  <si>
    <t>18231598-2</t>
  </si>
  <si>
    <t xml:space="preserve">Claudio jorquera </t>
  </si>
  <si>
    <t>13449183-3</t>
  </si>
  <si>
    <t>jenifer saez</t>
  </si>
  <si>
    <t>16428379-8</t>
  </si>
  <si>
    <t>GINA MARIBEL BELLO CARVAJAL</t>
  </si>
  <si>
    <t>13586613K</t>
  </si>
  <si>
    <t>Carlos Sanchez</t>
  </si>
  <si>
    <t>15496959-4</t>
  </si>
  <si>
    <t>marcela valladares</t>
  </si>
  <si>
    <t>10495344-1</t>
  </si>
  <si>
    <t>CECILIA  ANGELICA VERGARA VERDUGO</t>
  </si>
  <si>
    <t>13355347-9</t>
  </si>
  <si>
    <t>PABLO ESQUIVEL OLIVA</t>
  </si>
  <si>
    <t>14104186-k</t>
  </si>
  <si>
    <t>cristobal nachbargauer</t>
  </si>
  <si>
    <t>16975125-0</t>
  </si>
  <si>
    <t>FRANCISCO RODRIGUEZ</t>
  </si>
  <si>
    <t>MARIANELA ARROYO</t>
  </si>
  <si>
    <t>13385368-5</t>
  </si>
  <si>
    <t>astrid casas moreno</t>
  </si>
  <si>
    <t>15392231-4</t>
  </si>
  <si>
    <t>MARIA VELOZ</t>
  </si>
  <si>
    <t>13023937-4</t>
  </si>
  <si>
    <t>CARMEN GUZMAN</t>
  </si>
  <si>
    <t>11953480-1</t>
  </si>
  <si>
    <t xml:space="preserve">Servicios Villa Alegre eirl </t>
  </si>
  <si>
    <t>76559212-7</t>
  </si>
  <si>
    <t>YASNA MIRANDA</t>
  </si>
  <si>
    <t>11468999-8</t>
  </si>
  <si>
    <t>arnoldo dagoberto flores galvez</t>
  </si>
  <si>
    <t>14492933-0</t>
  </si>
  <si>
    <t>SOLANGE LEMUS</t>
  </si>
  <si>
    <t>18829026-4</t>
  </si>
  <si>
    <t xml:space="preserve">Manuel Sanz Iriarte </t>
  </si>
  <si>
    <t>8944954-5</t>
  </si>
  <si>
    <t>SANDRA ESPINOZA JAUREGUI</t>
  </si>
  <si>
    <t>cristian cataldo</t>
  </si>
  <si>
    <t>12622971-2</t>
  </si>
  <si>
    <t xml:space="preserve">isis hernandez </t>
  </si>
  <si>
    <t>27143549-5</t>
  </si>
  <si>
    <t>R. Yamileth Lopez Castillo</t>
  </si>
  <si>
    <t>24245472-3</t>
  </si>
  <si>
    <t>Andrés Juliá</t>
  </si>
  <si>
    <t>14385806-5</t>
  </si>
  <si>
    <t>Rodrigo Quintanilla</t>
  </si>
  <si>
    <t>12832269-8</t>
  </si>
  <si>
    <t>LILIANA VALLADARES</t>
  </si>
  <si>
    <t>cristina perez</t>
  </si>
  <si>
    <t>9179400-4</t>
  </si>
  <si>
    <t>mario e castro pinto</t>
  </si>
  <si>
    <t>Patricia Retamal Suarez</t>
  </si>
  <si>
    <t>11819332-6</t>
  </si>
  <si>
    <t>Jose cares</t>
  </si>
  <si>
    <t>18262437-3</t>
  </si>
  <si>
    <t>Jaime Pincheira Campos</t>
  </si>
  <si>
    <t>17153889-0</t>
  </si>
  <si>
    <t>Priscila Reyes</t>
  </si>
  <si>
    <t>13451225-3</t>
  </si>
  <si>
    <t>hector olguin donoso</t>
  </si>
  <si>
    <t>10241910-3</t>
  </si>
  <si>
    <t>Jaime Pincheira</t>
  </si>
  <si>
    <t xml:space="preserve">Gina maribel bello carvajal </t>
  </si>
  <si>
    <t xml:space="preserve">13586613-k </t>
  </si>
  <si>
    <t>Cesar Gibson</t>
  </si>
  <si>
    <t>27203203-3</t>
  </si>
  <si>
    <t>victoria ruiz escobar</t>
  </si>
  <si>
    <t>13579483-k</t>
  </si>
  <si>
    <t>Sandra Castillon Yucra</t>
  </si>
  <si>
    <t>irma maureira esperguel</t>
  </si>
  <si>
    <t>9134109-3</t>
  </si>
  <si>
    <t>Stuardo y Barrera Spa</t>
  </si>
  <si>
    <t>camila huerta</t>
  </si>
  <si>
    <t>16791677-5</t>
  </si>
  <si>
    <t>Angie Cordano</t>
  </si>
  <si>
    <t>26131036-8</t>
  </si>
  <si>
    <t>PEDRO MURILLO MORENO</t>
  </si>
  <si>
    <t>21933015-4</t>
  </si>
  <si>
    <t>Patricia Retamal</t>
  </si>
  <si>
    <t>Isabel Virginia Aravena Osses</t>
  </si>
  <si>
    <t>10090871-9</t>
  </si>
  <si>
    <t>german ortega</t>
  </si>
  <si>
    <t>10809417-6</t>
  </si>
  <si>
    <t xml:space="preserve">Pamela González </t>
  </si>
  <si>
    <t>JOHANA QUEZADA</t>
  </si>
  <si>
    <t>15081993-8</t>
  </si>
  <si>
    <t xml:space="preserve">Claudia Rosas </t>
  </si>
  <si>
    <t>7320588-3</t>
  </si>
  <si>
    <t xml:space="preserve">maribel azocar </t>
  </si>
  <si>
    <t>Alejandro Olguín Suárez</t>
  </si>
  <si>
    <t>9645943-2</t>
  </si>
  <si>
    <t>EDUARDO SALGADO</t>
  </si>
  <si>
    <t>15988402-3</t>
  </si>
  <si>
    <t xml:space="preserve">marcela sagredo vergara </t>
  </si>
  <si>
    <t>Francisca Vieyte</t>
  </si>
  <si>
    <t>17701726-4</t>
  </si>
  <si>
    <t>rene maulen araos</t>
  </si>
  <si>
    <t>15923158-5</t>
  </si>
  <si>
    <t>Manuel Kissamita</t>
  </si>
  <si>
    <t>10255198-2</t>
  </si>
  <si>
    <t>marisol nahuel</t>
  </si>
  <si>
    <t>13033788-0</t>
  </si>
  <si>
    <t>KATY HALVORSEN</t>
  </si>
  <si>
    <t>roxana alvarez</t>
  </si>
  <si>
    <t>13330283-2</t>
  </si>
  <si>
    <t>Luis Atilio Muñoz Navarrete</t>
  </si>
  <si>
    <t>7222427-2</t>
  </si>
  <si>
    <t>Joel San Martín</t>
  </si>
  <si>
    <t>18424932-4</t>
  </si>
  <si>
    <t>MARIA PIA FARIAS LARENAS</t>
  </si>
  <si>
    <t>13049036-0</t>
  </si>
  <si>
    <t>Irene Martínez</t>
  </si>
  <si>
    <t>7134173-9</t>
  </si>
  <si>
    <t>Norma Corvalán</t>
  </si>
  <si>
    <t>Glendy Piña</t>
  </si>
  <si>
    <t>26938039-k</t>
  </si>
  <si>
    <t>vania quezada</t>
  </si>
  <si>
    <t>Luz Matamala</t>
  </si>
  <si>
    <t>13932533-8</t>
  </si>
  <si>
    <t>Gloria Tortella</t>
  </si>
  <si>
    <t>13089259-0</t>
  </si>
  <si>
    <t>MONICA ALVARADO</t>
  </si>
  <si>
    <t>13409569-5</t>
  </si>
  <si>
    <t xml:space="preserve">Guillermo Agustín manriquez Espinoza </t>
  </si>
  <si>
    <t>13222929-5</t>
  </si>
  <si>
    <t xml:space="preserve">Eliana Cifuentes Sánchez </t>
  </si>
  <si>
    <t>15194101-k</t>
  </si>
  <si>
    <t xml:space="preserve">Jocelyn Lagos </t>
  </si>
  <si>
    <t>16427076-9</t>
  </si>
  <si>
    <t xml:space="preserve">ROSANNA GONZALEZ </t>
  </si>
  <si>
    <t>25985936-0</t>
  </si>
  <si>
    <t>MAKARENA DIAZ</t>
  </si>
  <si>
    <t>15357872-8</t>
  </si>
  <si>
    <t>Jaime Pérez</t>
  </si>
  <si>
    <t>14141907-2</t>
  </si>
  <si>
    <t>Damaris Ramos</t>
  </si>
  <si>
    <t>13656341-6</t>
  </si>
  <si>
    <t>http://www.simetric.co.uk/si_materials.htm</t>
  </si>
  <si>
    <t>http://en.wikipedia.org/wiki/Energy_density</t>
  </si>
  <si>
    <t>http://www.january.id.au/Tables/Densities.htm</t>
  </si>
  <si>
    <t>FACTORES DE EMISIÓN</t>
  </si>
  <si>
    <t>ADAPTACIÓN- CO2e</t>
  </si>
  <si>
    <t>DENSIDAD DE ENERGÍA</t>
  </si>
  <si>
    <t>Gobal warming potential</t>
  </si>
  <si>
    <t>Promedio</t>
  </si>
  <si>
    <t>Rango inferior</t>
  </si>
  <si>
    <t>Rango superior</t>
  </si>
  <si>
    <t>Input</t>
  </si>
  <si>
    <t>Valor</t>
  </si>
  <si>
    <r>
      <rPr>
        <b/>
        <sz val="10"/>
        <color theme="1"/>
        <rFont val="Arial"/>
        <family val="2"/>
      </rPr>
      <t>kg CO</t>
    </r>
    <r>
      <rPr>
        <vertAlign val="subscript"/>
        <sz val="11"/>
        <color rgb="FF003366"/>
        <rFont val="Arial"/>
        <family val="2"/>
      </rPr>
      <t>2</t>
    </r>
    <r>
      <rPr>
        <sz val="11"/>
        <color rgb="FF003366"/>
        <rFont val="Arial"/>
        <family val="2"/>
      </rPr>
      <t>e</t>
    </r>
  </si>
  <si>
    <t>Fuentes móviles</t>
  </si>
  <si>
    <t>Gasolina para motores</t>
  </si>
  <si>
    <t>kg CO2/TJ</t>
  </si>
  <si>
    <t>Fuentes móviles- quema (alcance 1)</t>
  </si>
  <si>
    <t>Natural Gas</t>
  </si>
  <si>
    <t>MJ/kg</t>
  </si>
  <si>
    <t>Carbon dioxide</t>
  </si>
  <si>
    <t>Gas/diesel</t>
  </si>
  <si>
    <t>LPG (Propane)</t>
  </si>
  <si>
    <t>Methane</t>
  </si>
  <si>
    <t>GLP</t>
  </si>
  <si>
    <t>LPG (Butane)</t>
  </si>
  <si>
    <t>Nitrous oxide</t>
  </si>
  <si>
    <t>Queroseno</t>
  </si>
  <si>
    <t>Gasoline (Petrol)</t>
  </si>
  <si>
    <t>Lubricantes</t>
  </si>
  <si>
    <t>Kerosene</t>
  </si>
  <si>
    <t>Diesel Fuel (Res. Heating Oil)</t>
  </si>
  <si>
    <t>Gas natural comprimido</t>
  </si>
  <si>
    <t>Gas natural licuado</t>
  </si>
  <si>
    <t>Biodiesel (Veg. Oil)</t>
  </si>
  <si>
    <t>Gasolina para motores- sin controlar</t>
  </si>
  <si>
    <t>kg CH4/TJ</t>
  </si>
  <si>
    <t>Fuentes fijas- quema (alcance 1)</t>
  </si>
  <si>
    <t>Crude Oil</t>
  </si>
  <si>
    <t>Gasolina para motores- catalizador de oxidación</t>
  </si>
  <si>
    <t>Coal, anthracite</t>
  </si>
  <si>
    <t>kg CO2</t>
  </si>
  <si>
    <t>TJ</t>
  </si>
  <si>
    <t>MJ</t>
  </si>
  <si>
    <t>L</t>
  </si>
  <si>
    <t>Gasolina para motores- vehículo para servicio ligero con poco kilometraje, modelo 1995 o nuevo</t>
  </si>
  <si>
    <t>Ethanol</t>
  </si>
  <si>
    <t>Gas/Diesel</t>
  </si>
  <si>
    <t>Coal, bituminous</t>
  </si>
  <si>
    <t>Coal, lignite</t>
  </si>
  <si>
    <t>Gas licuado de petróleo</t>
  </si>
  <si>
    <t>Wood</t>
  </si>
  <si>
    <t>kg N2O/TJ</t>
  </si>
  <si>
    <t>Hielo seco</t>
  </si>
  <si>
    <t>MJ/L</t>
  </si>
  <si>
    <t>l</t>
  </si>
  <si>
    <t>Nieve carbónica</t>
  </si>
  <si>
    <t>(1000000/932*1000/27.5)</t>
  </si>
  <si>
    <t>Dióxido de carbono</t>
  </si>
  <si>
    <t>Metano</t>
  </si>
  <si>
    <t>Gg</t>
  </si>
  <si>
    <t>Óxido nitroso</t>
  </si>
  <si>
    <t>HFC-23</t>
  </si>
  <si>
    <t>Petróleo crudo</t>
  </si>
  <si>
    <t>HFC-32</t>
  </si>
  <si>
    <t>Orimulsión</t>
  </si>
  <si>
    <t>HFC-41</t>
  </si>
  <si>
    <t>HFC-125</t>
  </si>
  <si>
    <t>GJ</t>
  </si>
  <si>
    <t>Gasolina para motor</t>
  </si>
  <si>
    <t>HFC-134</t>
  </si>
  <si>
    <t>Gasolina para la aviación</t>
  </si>
  <si>
    <t>HFC-134a</t>
  </si>
  <si>
    <t>Gasolina para motor a reacción</t>
  </si>
  <si>
    <t>HFC-143</t>
  </si>
  <si>
    <t>Diesel Oil</t>
  </si>
  <si>
    <t>http://www.environment.gov.au/climate-change/climate-science-data/greenhouse-gas-measurement/publications/national-greenhouse-accounts-factors-july-2017</t>
  </si>
  <si>
    <t>Queroseno para motor a reacción</t>
  </si>
  <si>
    <t>HFC-143a</t>
  </si>
  <si>
    <t>Petrol (gasoline)</t>
  </si>
  <si>
    <t>Otro queroseno</t>
  </si>
  <si>
    <t>HFC-152a</t>
  </si>
  <si>
    <t>GJ/L</t>
  </si>
  <si>
    <t>Esquisito bituminoso</t>
  </si>
  <si>
    <t>HFC-227ea</t>
  </si>
  <si>
    <t>HFC-236fa</t>
  </si>
  <si>
    <t>TJ/Gg</t>
  </si>
  <si>
    <t>IPCC 2006- ormulsión</t>
  </si>
  <si>
    <t>Fuelóleo residual</t>
  </si>
  <si>
    <t>HFC-245fa</t>
  </si>
  <si>
    <t>kg/m3</t>
  </si>
  <si>
    <t>https://www.machinerylubrication.com/Read/29319/measuring-relative-density</t>
  </si>
  <si>
    <t>HFC-43-I0mee</t>
  </si>
  <si>
    <t>Perfluorometano (PFC-14)</t>
  </si>
  <si>
    <t>Perfluoroetano (PFC-116)</t>
  </si>
  <si>
    <t>Perfluoropropano (PFC-218)</t>
  </si>
  <si>
    <t>Gasolina para motors</t>
  </si>
  <si>
    <t>Perfluorocyclobutano (PFC-318)</t>
  </si>
  <si>
    <t>Perfluorobutano (PFC-3-1-10)</t>
  </si>
  <si>
    <t>Perfluoropentano (PFC-4-1-12)</t>
  </si>
  <si>
    <t>Perfluorohexano (PFC-5-1-14)</t>
  </si>
  <si>
    <t>Sulphur hexafluorido (SF6)</t>
  </si>
  <si>
    <t>R404A</t>
  </si>
  <si>
    <t>R407A</t>
  </si>
  <si>
    <t>R407C</t>
  </si>
  <si>
    <t>R407F</t>
  </si>
  <si>
    <t>R408A</t>
  </si>
  <si>
    <t xml:space="preserve">Calculation: </t>
  </si>
  <si>
    <t>Analyze</t>
  </si>
  <si>
    <t>R507A</t>
  </si>
  <si>
    <t xml:space="preserve">Results: </t>
  </si>
  <si>
    <t>Impact assessment</t>
  </si>
  <si>
    <t>R508B</t>
  </si>
  <si>
    <t xml:space="preserve">Product: </t>
  </si>
  <si>
    <t>1 kg Recycling glass, 30% cullet/AU U- no avoided products (of project Chile projects)</t>
  </si>
  <si>
    <t>R403A</t>
  </si>
  <si>
    <t xml:space="preserve">Method: </t>
  </si>
  <si>
    <t>IPCC 2013 GWP 100a V1.03</t>
  </si>
  <si>
    <t>CFC-11/R11 = trichlorofluoromethane</t>
  </si>
  <si>
    <t xml:space="preserve">Indicator: </t>
  </si>
  <si>
    <t>Characterization</t>
  </si>
  <si>
    <t>CFC-12/R12 = dichlorodifluorometano</t>
  </si>
  <si>
    <t xml:space="preserve">Skip categories: </t>
  </si>
  <si>
    <t>Never</t>
  </si>
  <si>
    <t>CFC-13</t>
  </si>
  <si>
    <t xml:space="preserve">Exclude infrastructure processes: </t>
  </si>
  <si>
    <t>CFC-113</t>
  </si>
  <si>
    <t xml:space="preserve">Exclude long-term emissions: </t>
  </si>
  <si>
    <t>CFC-114</t>
  </si>
  <si>
    <t xml:space="preserve">Sorted on item: </t>
  </si>
  <si>
    <t>Impact category</t>
  </si>
  <si>
    <t>CFC-115</t>
  </si>
  <si>
    <t xml:space="preserve">Sort order: </t>
  </si>
  <si>
    <t>Ascending</t>
  </si>
  <si>
    <t>Halon-1211</t>
  </si>
  <si>
    <t>Fuentes móviles- quema (alcance 3)</t>
  </si>
  <si>
    <t>kg CO2e/GJ</t>
  </si>
  <si>
    <t>https://www.industry.gov.au/sites/default/files/2020-10/national-greenhouse-accounts-factors-2020.pdf</t>
  </si>
  <si>
    <t>Halon-1301</t>
  </si>
  <si>
    <t>Unit</t>
  </si>
  <si>
    <t>Recycling glass, 30% cullet/AU U- no avoided products</t>
  </si>
  <si>
    <t>Transport, recycling collection/AU U</t>
  </si>
  <si>
    <t>Sorting food+beverage contain/AU U</t>
  </si>
  <si>
    <t>Sorting comingle paper+cont./AU U</t>
  </si>
  <si>
    <t>Cullet processing/AU U</t>
  </si>
  <si>
    <t>Transport, rigid truck, 3.5-16t, fleet average/AU U</t>
  </si>
  <si>
    <t>Halon-2402</t>
  </si>
  <si>
    <t>IPCC GWP 100a</t>
  </si>
  <si>
    <t>kg CO2 eq</t>
  </si>
  <si>
    <t>Carbon tetraclorido</t>
  </si>
  <si>
    <t>Bromuro de metano</t>
  </si>
  <si>
    <t>Methyl chloroform</t>
  </si>
  <si>
    <t>HCFC-123</t>
  </si>
  <si>
    <t>Fuentes fijas- quema (alcance 3)</t>
  </si>
  <si>
    <t>HCFC-124</t>
  </si>
  <si>
    <t>1 kg Aluminio (of project Chile projects)</t>
  </si>
  <si>
    <t>HCFC-141b</t>
  </si>
  <si>
    <t>HCFC-142b</t>
  </si>
  <si>
    <t>HCFC-225ca</t>
  </si>
  <si>
    <t>HCFC-225cb</t>
  </si>
  <si>
    <t>HCFC-21</t>
  </si>
  <si>
    <t>Nitrogeno trifluorido</t>
  </si>
  <si>
    <t>PFC-9-1-18</t>
  </si>
  <si>
    <t>Trifluoromethyl sulphur pentafluoride</t>
  </si>
  <si>
    <t>Perfluorocyclopropano</t>
  </si>
  <si>
    <t>Waste aluminium {RoW}| treatment of, sanitary landfill | APOS, U</t>
  </si>
  <si>
    <t>Aluminium scrap, post-consumer, prepared for melting {RoW}| treatment of aluminium scrap, post-consumer, prepared for recycling, at remelter | APOS, U</t>
  </si>
  <si>
    <t>HFE-125</t>
  </si>
  <si>
    <t>HFE-134</t>
  </si>
  <si>
    <t>HFE-143a</t>
  </si>
  <si>
    <t>HCFE-235da2</t>
  </si>
  <si>
    <t>HFE-245cb2</t>
  </si>
  <si>
    <t>HFE-245fa2</t>
  </si>
  <si>
    <t>HFE-254cb2</t>
  </si>
  <si>
    <t>1 kg recycling steel/AU U- no avoided products (of project Chile projects)</t>
  </si>
  <si>
    <t>HFE-347mcc3</t>
  </si>
  <si>
    <t>HFE-347pcf2</t>
  </si>
  <si>
    <t>HFE-356pcc3</t>
  </si>
  <si>
    <t>HFE-449sl (HFE-7100)</t>
  </si>
  <si>
    <t>HFE-569sf2 (HFE-7200)</t>
  </si>
  <si>
    <t>HFE-43-10pccc124 (H-Galden1040x)</t>
  </si>
  <si>
    <t>HFE-236ca12 (HG-10)</t>
  </si>
  <si>
    <t>HFE-338pcc13 (HG-01)</t>
  </si>
  <si>
    <t>PFPMIE</t>
  </si>
  <si>
    <t>recycling steel/AU U- no avoided products</t>
  </si>
  <si>
    <t>collection and processing of steel scrap/AU U</t>
  </si>
  <si>
    <t>Dimethyleter</t>
  </si>
  <si>
    <t>Methylene chloride</t>
  </si>
  <si>
    <t>Methyl chloride</t>
  </si>
  <si>
    <t>R290 = propano</t>
  </si>
  <si>
    <t>R600A = isobutano</t>
  </si>
  <si>
    <t>R1234yf</t>
  </si>
  <si>
    <t>&lt; 1</t>
  </si>
  <si>
    <t>R1234ze</t>
  </si>
  <si>
    <t>R406A</t>
  </si>
  <si>
    <t>R409A</t>
  </si>
  <si>
    <t>R502</t>
  </si>
  <si>
    <t>Amoniaco</t>
  </si>
  <si>
    <t>R-22</t>
  </si>
  <si>
    <t>R-32</t>
  </si>
  <si>
    <t>R-417A</t>
  </si>
  <si>
    <t>http://catalogador.mma.gob.cl:8080/geonetwork/srv/spa/resources.get?uuid=ff78fced-0212-4797-a7cf-f471c394ba22&amp;fname=Elaboraci%C3%B3n%20del%20Inventario%20Nacional%20de%20Hidrofluorocarbonos%20HFC_2017.pdf&amp;access=public</t>
  </si>
  <si>
    <t>R-417B</t>
  </si>
  <si>
    <t>R-422A</t>
  </si>
  <si>
    <t>R-422D</t>
  </si>
  <si>
    <t>R-424a</t>
  </si>
  <si>
    <t>R-426a</t>
  </si>
  <si>
    <t>R-427A</t>
  </si>
  <si>
    <t>R-428a</t>
  </si>
  <si>
    <t>R-434a</t>
  </si>
  <si>
    <t>R-437A</t>
  </si>
  <si>
    <t>R-438A</t>
  </si>
  <si>
    <t>R-448A</t>
  </si>
  <si>
    <t>R-453A</t>
  </si>
  <si>
    <t>Biodigestor</t>
  </si>
  <si>
    <t xml:space="preserve">*Buscar factor de relleno sanitario </t>
  </si>
  <si>
    <t>Compost domiciliario</t>
  </si>
  <si>
    <t>Se deja en el campo</t>
  </si>
  <si>
    <t>*Actualizado</t>
  </si>
  <si>
    <t>no avoided materials</t>
  </si>
  <si>
    <t>steel</t>
  </si>
  <si>
    <t>Compostaje domiciliario</t>
  </si>
  <si>
    <t>Orgánico- Jardín</t>
  </si>
  <si>
    <t>Orgánico- Casa y jardín</t>
  </si>
  <si>
    <t>Bienes de capital y servicios</t>
  </si>
  <si>
    <t>Bienestar</t>
  </si>
  <si>
    <t>Papelería</t>
  </si>
  <si>
    <t>Conferencias</t>
  </si>
  <si>
    <t>Asesoría legal</t>
  </si>
  <si>
    <t>Laboratorio</t>
  </si>
  <si>
    <t>Productos de madera</t>
  </si>
  <si>
    <t>Transporte terrestre</t>
  </si>
  <si>
    <t>Turismo</t>
  </si>
  <si>
    <t>Embalaje</t>
  </si>
  <si>
    <t>Vidrio</t>
  </si>
  <si>
    <t>Polipropileno</t>
  </si>
  <si>
    <t>supuesto de que es aluminio</t>
  </si>
  <si>
    <t>Abarrotes</t>
  </si>
  <si>
    <t>Agua y Bebidas</t>
  </si>
  <si>
    <t>Café y Té</t>
  </si>
  <si>
    <t>Clips y Accoclips</t>
  </si>
  <si>
    <t>Corchetera y Perforadora</t>
  </si>
  <si>
    <t>Corchetes y Sacacorchetes</t>
  </si>
  <si>
    <t>Químicos</t>
  </si>
  <si>
    <t>Ministerio de energía (http://energiaabierta.cl/visualizaciones/factor-de-emision-sic-sing/)</t>
  </si>
  <si>
    <t>Promedio 2022</t>
  </si>
  <si>
    <t>*Valor 2020</t>
  </si>
  <si>
    <t>https://mma.gob.cl/wp-content/uploads/2017/12/recurso_11.pdf</t>
  </si>
  <si>
    <t>Promedio 2019</t>
  </si>
  <si>
    <t>https://www.nrel.gov/docs/fy13osti/56487.pdf</t>
  </si>
  <si>
    <t>Barco (genérico)</t>
  </si>
  <si>
    <t>AusLCI</t>
  </si>
  <si>
    <t>Aéreo emisiones directas</t>
  </si>
  <si>
    <t>Aéreo emisiones indirectas</t>
  </si>
  <si>
    <t>Camión rígido 3.5- 7 toneladas</t>
  </si>
  <si>
    <t>Camión rígido 7- 17 toneladas</t>
  </si>
  <si>
    <t>Camión rígido sobre 17 toneladas</t>
  </si>
  <si>
    <t>Camión articulado 3.5-33 toneladas</t>
  </si>
  <si>
    <t>Camión articulado sobre 33 toneladas</t>
  </si>
  <si>
    <t>Barco 8000 TEU</t>
  </si>
  <si>
    <t>Barco 5000- 7999 TEU</t>
  </si>
  <si>
    <t>Barco 3000- 4999 TEU</t>
  </si>
  <si>
    <t>Barco 2000- 3999 TEU</t>
  </si>
  <si>
    <t>Barco 1000- 1999 TEU</t>
  </si>
  <si>
    <t>Barco 0- 999 TEU</t>
  </si>
  <si>
    <t>Economy</t>
  </si>
  <si>
    <t>kg CO2eq/km</t>
  </si>
  <si>
    <t>Government conversion factors for Company Reporting. DEFRA - DECC, 2016.</t>
  </si>
  <si>
    <t>Business</t>
  </si>
  <si>
    <t>First</t>
  </si>
  <si>
    <t>Alojamiento</t>
  </si>
  <si>
    <t>kg CO2e/km</t>
  </si>
  <si>
    <t>Avión</t>
  </si>
  <si>
    <t>1 kg Residuos Chilexpress (of project Chile projects)</t>
  </si>
  <si>
    <t>ReCiPe 2016 Midpoint (H) V1.04 / World (2010) H</t>
  </si>
  <si>
    <t>Residuos Chilexpress</t>
  </si>
  <si>
    <t>waste treatment, mixed paper, at landfill/AU U</t>
  </si>
  <si>
    <t>waste treatment, municipal waste average, at landfill/AU U</t>
  </si>
  <si>
    <t>Waste building wood, chrome preserved {RoW}| treatment of, municipal incineration | APOS, U</t>
  </si>
  <si>
    <t>Waste wood, untreated {RoW}| treatment of waste wood, untreated, municipal incineration | APOS, U</t>
  </si>
  <si>
    <t>PE (waste treatment) {GLO}| recycling of PE | APOS, U</t>
  </si>
  <si>
    <t>Core board (waste treatment) {GLO}| recycling of core board | APOS, U</t>
  </si>
  <si>
    <t>Municipal solid waste {RoW}| treatment of, sanitary landfill | APOS, U</t>
  </si>
  <si>
    <t>Global warming</t>
  </si>
  <si>
    <t>Stratospheric ozone depletion</t>
  </si>
  <si>
    <t>kg CFC11 eq</t>
  </si>
  <si>
    <t>Ionizing radiation</t>
  </si>
  <si>
    <t>kBq Co-60 eq</t>
  </si>
  <si>
    <t>Ozone formation, Human health</t>
  </si>
  <si>
    <t>kg NOx eq</t>
  </si>
  <si>
    <t>Fine particulate matter formation</t>
  </si>
  <si>
    <t>kg PM2.5 eq</t>
  </si>
  <si>
    <t>Ozone formation, Terrestrial ecosystems</t>
  </si>
  <si>
    <t>Terrestrial acidification</t>
  </si>
  <si>
    <t>kg SO2 eq</t>
  </si>
  <si>
    <t>Freshwater eutrophication</t>
  </si>
  <si>
    <t>kg P eq</t>
  </si>
  <si>
    <t>Marine eutrophication</t>
  </si>
  <si>
    <t>kg N eq</t>
  </si>
  <si>
    <t>Terrestrial ecotoxicity</t>
  </si>
  <si>
    <t>kg 1,4-DCB</t>
  </si>
  <si>
    <t>Freshwater ecotoxicity</t>
  </si>
  <si>
    <t>Marine ecotoxicity</t>
  </si>
  <si>
    <t>Human carcinogenic toxicity</t>
  </si>
  <si>
    <t>Human non-carcinogenic toxicity</t>
  </si>
  <si>
    <t>Land use</t>
  </si>
  <si>
    <t>m2a crop eq</t>
  </si>
  <si>
    <t>Mineral resource scarcity</t>
  </si>
  <si>
    <t>kg Cu eq</t>
  </si>
  <si>
    <t>Fossil resource scarcity</t>
  </si>
  <si>
    <t>kg oil eq</t>
  </si>
  <si>
    <t>Water consumption</t>
  </si>
  <si>
    <t>1 kg Chilexpress (of project EXIOBASE)</t>
  </si>
  <si>
    <t>ReCiPe 2016 Midpoint (H) V1.03 / World (2010) H</t>
  </si>
  <si>
    <t>Chilexpress</t>
  </si>
  <si>
    <t>_48 Manufacture of wearing apparel; dressing and dyeing of fur (18) {WL} (product market, monetary units)</t>
  </si>
  <si>
    <t>_55 Publishing, printing and reproduction of recorded media (22) {WL} (product market, monetary units)</t>
  </si>
  <si>
    <t>_86 Manufacture of machinery and equipment n.e.c. (29) {WL} (product market, monetary units)</t>
  </si>
  <si>
    <t>_87 Manufacture of office machinery and computers (30) {WL} (product market, monetary units)</t>
  </si>
  <si>
    <t>_88 Manufacture of electrical machinery and apparatus n.e.c. (31) {WL} (product market, monetary units)</t>
  </si>
  <si>
    <t>_89 Manufacture of radio, television and communication equipment and apparatus (32) {WL} (product market, monetary units)</t>
  </si>
  <si>
    <t>_91 Manufacture of motor vehicles, trailers and semi-trailers (34) {WL} (product market, monetary units)</t>
  </si>
  <si>
    <t>113 Collection, purification and distribution of water (41) {WL} (product market, monetary units)</t>
  </si>
  <si>
    <t>116 Sale, maintenance, repair of motor vehicles, motor vehicles parts, motorcycles, motor cycles parts and accessoiries {WL} (product market, monetary units)</t>
  </si>
  <si>
    <t>121 Transport via railways {WL} (product market, monetary units)</t>
  </si>
  <si>
    <t>122 Other land transport {WL} (product market, monetary units)</t>
  </si>
  <si>
    <t>126 Air transport (62) {WL} (product market, monetary units)</t>
  </si>
  <si>
    <t>127 Supporting and auxiliary transport activities; activities of travel agencies (63) {WL} (product market, monetary units)</t>
  </si>
  <si>
    <t>128 Post and telecommunications (64) {WL} (product market, monetary units)</t>
  </si>
  <si>
    <t>129 Financial intermediation, except insurance and pension funding (65) {WL} (product market, monetary units)</t>
  </si>
  <si>
    <t>130 Insurance and pension funding, except compulsory social security (66) {WL} (product market, monetary units)</t>
  </si>
  <si>
    <t>132 Real estate activities (70) {WL} (product market, monetary units)</t>
  </si>
  <si>
    <t>133 Renting of machinery and equipment without operator and of personal and household goods (71) {WL} (product market, monetary units)</t>
  </si>
  <si>
    <t>134 Computer and related activities (72) {WL} (product market, monetary units)</t>
  </si>
  <si>
    <t>135 Research and development (73) {WL} (product market, monetary units)</t>
  </si>
  <si>
    <t>139 Health and social work (85) {WL} (product market, monetary units)</t>
  </si>
  <si>
    <t>136 Other business activities (74) {WL} (product market, monetary units)</t>
  </si>
  <si>
    <t>161 Recreational, cultural and sporting activities (92) {WL} (product market, monetary units)</t>
  </si>
  <si>
    <t>160 Activities of membership organisation n.e.c. (91) {WL} (product market, monetary units)</t>
  </si>
  <si>
    <t>_54 Paper {WL} (product market, monetary units)</t>
  </si>
  <si>
    <t>_93 Manufacture of furniture; manufacturing n.e.c. (36) {WL} (product market, monetary units)</t>
  </si>
  <si>
    <t>114 Construction (45) {WL} (product market, monetary units)</t>
  </si>
  <si>
    <t>162 Other service activities (93) {WL} (product market, monetary units)</t>
  </si>
  <si>
    <t>163 Private households with employed persons (95) {WL} (product market, monetary units)</t>
  </si>
  <si>
    <t>_63 Chemicals nec {WL} (product market, monetary units)</t>
  </si>
  <si>
    <t>1 kg Waste paperboard {RoW}| treatment of, sanitary landfill | APOS, U (of project Ecoinvent 3 - allocation at point of substitution - unit)</t>
  </si>
  <si>
    <t>Yes</t>
  </si>
  <si>
    <t>Waste paperboard {RoW}| treatment of, sanitary landfill | APOS, U</t>
  </si>
  <si>
    <t>Waste polypropylene {RoW}| treatment of waste polypropylene, sanitary landfill | APOS, U</t>
  </si>
  <si>
    <t>Waste sealing sheet, polyvinylchloride {RoW}| treatment of, municipal incineration | APOS, 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</si>
</sst>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 &quot;$&quot;* #,##0_ ;_ &quot;$&quot;* \-#,##0_ ;_ &quot;$&quot;* &quot;-&quot;_ ;_ @_ "/>
    <numFmt numFmtId="41" formatCode="_ * #,##0_ ;_ * \-#,##0_ ;_ * &quot;-&quot;_ ;_ @_ "/>
    <numFmt numFmtId="164" formatCode="#,##0.00000"/>
    <numFmt numFmtId="165" formatCode="_-* #,##0_-;\-* #,##0_-;_-* &quot;-&quot;??_-;_-@"/>
    <numFmt numFmtId="166" formatCode="_-* #,##0.0_-;\-* #,##0.0_-;_-* &quot;-&quot;??_-;_-@"/>
    <numFmt numFmtId="167" formatCode="#,##0.0"/>
    <numFmt numFmtId="168" formatCode="_-* #,##0.00_-;\-* #,##0.00_-;_-* &quot;-&quot;??_-;_-@"/>
    <numFmt numFmtId="169" formatCode="_-* #,##0.0000_-;\-* #,##0.0000_-;_-* &quot;-&quot;??_-;_-@"/>
    <numFmt numFmtId="170" formatCode="0.0%"/>
    <numFmt numFmtId="171" formatCode="0.0"/>
    <numFmt numFmtId="172" formatCode="0.000000000"/>
    <numFmt numFmtId="173" formatCode="#,##0.000"/>
    <numFmt numFmtId="174" formatCode="_-&quot;$&quot;* #,##0_-;\-&quot;$&quot;* #,##0_-;_-&quot;$&quot;* &quot;-&quot;_-;_-@"/>
    <numFmt numFmtId="175" formatCode="_-* #,##0_-;\-* #,##0_-;_-* &quot;-&quot;_-;_-@"/>
    <numFmt numFmtId="176" formatCode="0.000000"/>
    <numFmt numFmtId="177" formatCode="[$$]#,##0"/>
    <numFmt numFmtId="178" formatCode="[$$]#,##0.00"/>
    <numFmt numFmtId="179" formatCode="_ * #,##0.0_ ;_ * \-#,##0.0_ ;_ * &quot;-&quot;_ ;_ @_ "/>
    <numFmt numFmtId="180" formatCode="0.000"/>
    <numFmt numFmtId="181" formatCode="0.000000000000"/>
    <numFmt numFmtId="182" formatCode="mmmm\ yyyy"/>
    <numFmt numFmtId="183" formatCode="d\-m\-yyyy"/>
    <numFmt numFmtId="184" formatCode="_ * #,##0.00_ ;_ * \-#,##0.00_ ;_ * &quot;-&quot;_ ;_ @_ "/>
    <numFmt numFmtId="185" formatCode="_ * #,##0.000_ ;_ * \-#,##0.000_ ;_ * &quot;-&quot;_ ;_ @_ "/>
    <numFmt numFmtId="186" formatCode="0.0000"/>
    <numFmt numFmtId="187" formatCode="_ * #,##0.00000_ ;_ * \-#,##0.00000_ ;_ * &quot;-&quot;_ ;_ @_ "/>
    <numFmt numFmtId="188" formatCode="m/d/yyyy\ h:mm:ss"/>
    <numFmt numFmtId="189" formatCode="_ * #,##0.0000_ ;_ * \-#,##0.0000_ ;_ * &quot;-&quot;_ ;_ @_ "/>
  </numFmts>
  <fonts count="89">
    <font>
      <sz val="10"/>
      <color rgb="FF414141"/>
      <name val="Arial"/>
      <scheme val="minor"/>
    </font>
    <font>
      <sz val="10"/>
      <color rgb="FF414141"/>
      <name val="Arial"/>
      <family val="2"/>
    </font>
    <font>
      <b/>
      <sz val="10"/>
      <color rgb="FF414141"/>
      <name val="Arial"/>
      <family val="2"/>
    </font>
    <font>
      <sz val="10"/>
      <color theme="1"/>
      <name val="Arial"/>
      <family val="2"/>
    </font>
    <font>
      <sz val="11"/>
      <color theme="1"/>
      <name val="Arial"/>
      <family val="2"/>
    </font>
    <font>
      <b/>
      <sz val="12"/>
      <color rgb="FF414141"/>
      <name val="Arial"/>
      <family val="2"/>
    </font>
    <font>
      <b/>
      <sz val="10"/>
      <color rgb="FFD4B77F"/>
      <name val="Arial"/>
      <family val="2"/>
    </font>
    <font>
      <sz val="11"/>
      <color rgb="FFD4B77F"/>
      <name val="Arial"/>
      <family val="2"/>
    </font>
    <font>
      <sz val="11"/>
      <color theme="0"/>
      <name val="Arial"/>
      <family val="2"/>
    </font>
    <font>
      <sz val="10"/>
      <name val="Arial"/>
      <family val="2"/>
    </font>
    <font>
      <b/>
      <sz val="11"/>
      <color theme="1"/>
      <name val="Arial"/>
      <family val="2"/>
    </font>
    <font>
      <sz val="11"/>
      <color rgb="FF000000"/>
      <name val="Arial"/>
      <family val="2"/>
    </font>
    <font>
      <sz val="10"/>
      <color rgb="FF262626"/>
      <name val="Arial"/>
      <family val="2"/>
    </font>
    <font>
      <b/>
      <sz val="11"/>
      <color rgb="FF000000"/>
      <name val="Calibri"/>
      <family val="2"/>
    </font>
    <font>
      <sz val="10"/>
      <color rgb="FFBFBFBF"/>
      <name val="Arial"/>
      <family val="2"/>
    </font>
    <font>
      <sz val="10"/>
      <color theme="5"/>
      <name val="Arial"/>
      <family val="2"/>
    </font>
    <font>
      <b/>
      <sz val="10"/>
      <color rgb="FFFFFFFF"/>
      <name val="Titillium Web"/>
    </font>
    <font>
      <sz val="10"/>
      <color rgb="FF000000"/>
      <name val="Titillium Web"/>
    </font>
    <font>
      <sz val="10"/>
      <color theme="1"/>
      <name val="Titillium Web"/>
    </font>
    <font>
      <sz val="10"/>
      <color theme="1"/>
      <name val="Titillium Web"/>
    </font>
    <font>
      <sz val="10"/>
      <color rgb="FF000000"/>
      <name val="Titillium Web"/>
    </font>
    <font>
      <sz val="10"/>
      <color rgb="FFFF0000"/>
      <name val="Titillium Web"/>
    </font>
    <font>
      <b/>
      <sz val="10"/>
      <color theme="1"/>
      <name val="Arial"/>
      <family val="2"/>
      <scheme val="minor"/>
    </font>
    <font>
      <sz val="10"/>
      <color theme="1"/>
      <name val="Arial"/>
      <family val="2"/>
      <scheme val="minor"/>
    </font>
    <font>
      <u/>
      <sz val="10"/>
      <color rgb="FF0000FF"/>
      <name val="Arial"/>
      <family val="2"/>
    </font>
    <font>
      <u/>
      <sz val="10"/>
      <color rgb="FF2FBFC1"/>
      <name val="Arial"/>
      <family val="2"/>
    </font>
    <font>
      <u/>
      <sz val="10"/>
      <color rgb="FF0000FF"/>
      <name val="Arial"/>
      <family val="2"/>
    </font>
    <font>
      <u/>
      <sz val="10"/>
      <color rgb="FF0000FF"/>
      <name val="Arial"/>
      <family val="2"/>
    </font>
    <font>
      <sz val="8"/>
      <color rgb="FF000000"/>
      <name val="&quot;Titillium Web&quot;"/>
    </font>
    <font>
      <b/>
      <sz val="8"/>
      <color rgb="FF000000"/>
      <name val="&quot;Titillium Web&quot;"/>
    </font>
    <font>
      <sz val="10"/>
      <color rgb="FF414141"/>
      <name val="Titillium Web"/>
    </font>
    <font>
      <b/>
      <sz val="10"/>
      <color rgb="FF414141"/>
      <name val="Titillium Web"/>
    </font>
    <font>
      <sz val="11"/>
      <color theme="1"/>
      <name val="Calibri"/>
      <family val="2"/>
    </font>
    <font>
      <b/>
      <sz val="11"/>
      <color rgb="FF414141"/>
      <name val="Titillium Web"/>
    </font>
    <font>
      <sz val="11"/>
      <color rgb="FF414141"/>
      <name val="Titillium Web"/>
    </font>
    <font>
      <sz val="10"/>
      <color theme="1"/>
      <name val="Arial"/>
      <family val="2"/>
    </font>
    <font>
      <b/>
      <sz val="10"/>
      <color rgb="FF414141"/>
      <name val="Titillium Web"/>
    </font>
    <font>
      <b/>
      <sz val="10"/>
      <color theme="1"/>
      <name val="Titillium Web"/>
    </font>
    <font>
      <b/>
      <sz val="10"/>
      <color theme="1"/>
      <name val="Titillium Web"/>
    </font>
    <font>
      <sz val="10"/>
      <color rgb="FF000000"/>
      <name val="Calibri"/>
      <family val="2"/>
    </font>
    <font>
      <b/>
      <sz val="10"/>
      <color rgb="FF000000"/>
      <name val="Calibri"/>
      <family val="2"/>
    </font>
    <font>
      <sz val="11"/>
      <color rgb="FFFFFFFF"/>
      <name val="Arial"/>
      <family val="2"/>
    </font>
    <font>
      <sz val="12"/>
      <color theme="1"/>
      <name val="Calibri"/>
      <family val="2"/>
    </font>
    <font>
      <b/>
      <sz val="12"/>
      <color theme="1"/>
      <name val="Calibri"/>
      <family val="2"/>
    </font>
    <font>
      <sz val="12"/>
      <color rgb="FF202020"/>
      <name val="Calibri"/>
      <family val="2"/>
    </font>
    <font>
      <b/>
      <sz val="11"/>
      <color theme="1"/>
      <name val="Calibri"/>
      <family val="2"/>
    </font>
    <font>
      <sz val="12"/>
      <color rgb="FF0C0C0C"/>
      <name val="Calibri"/>
      <family val="2"/>
    </font>
    <font>
      <sz val="11"/>
      <color rgb="FF000000"/>
      <name val="Calibri"/>
      <family val="2"/>
    </font>
    <font>
      <sz val="11"/>
      <color rgb="FFFFFFFF"/>
      <name val="Calibri"/>
      <family val="2"/>
    </font>
    <font>
      <sz val="10"/>
      <color rgb="FF222222"/>
      <name val="Arial"/>
      <family val="2"/>
    </font>
    <font>
      <i/>
      <sz val="9"/>
      <color theme="1"/>
      <name val="Calibri"/>
      <family val="2"/>
    </font>
    <font>
      <u/>
      <sz val="10"/>
      <color theme="10"/>
      <name val="Arial"/>
      <family val="2"/>
    </font>
    <font>
      <b/>
      <sz val="12"/>
      <color theme="1"/>
      <name val="Arial"/>
      <family val="2"/>
    </font>
    <font>
      <sz val="10"/>
      <color rgb="FF000000"/>
      <name val="Calibri"/>
      <family val="2"/>
    </font>
    <font>
      <b/>
      <sz val="11"/>
      <color theme="1"/>
      <name val="Arial"/>
      <family val="2"/>
      <scheme val="minor"/>
    </font>
    <font>
      <sz val="8"/>
      <color rgb="FF000000"/>
      <name val="Calibri"/>
      <family val="2"/>
    </font>
    <font>
      <b/>
      <sz val="8"/>
      <color rgb="FF000000"/>
      <name val="Calibri"/>
      <family val="2"/>
    </font>
    <font>
      <b/>
      <sz val="8"/>
      <color rgb="FF000000"/>
      <name val="Arial"/>
      <family val="2"/>
    </font>
    <font>
      <sz val="10"/>
      <color rgb="FF000000"/>
      <name val="Arial"/>
      <family val="2"/>
    </font>
    <font>
      <sz val="10"/>
      <color rgb="FFFFFFFF"/>
      <name val="Arial"/>
      <family val="2"/>
      <scheme val="minor"/>
    </font>
    <font>
      <b/>
      <sz val="11"/>
      <color rgb="FF000000"/>
      <name val="Arial"/>
      <family val="2"/>
    </font>
    <font>
      <sz val="11"/>
      <color rgb="FF414141"/>
      <name val="Calibri"/>
      <family val="2"/>
    </font>
    <font>
      <u/>
      <sz val="10"/>
      <color rgb="FF0000FF"/>
      <name val="Arial"/>
      <family val="2"/>
    </font>
    <font>
      <sz val="11"/>
      <color rgb="FF006100"/>
      <name val="Calibri"/>
      <family val="2"/>
    </font>
    <font>
      <sz val="11"/>
      <color rgb="FF9C0006"/>
      <name val="Calibri"/>
      <family val="2"/>
    </font>
    <font>
      <u/>
      <sz val="11"/>
      <color rgb="FF000000"/>
      <name val="Calibri"/>
      <family val="2"/>
    </font>
    <font>
      <sz val="9"/>
      <color theme="1"/>
      <name val="Calibri"/>
      <family val="2"/>
    </font>
    <font>
      <b/>
      <u/>
      <sz val="11"/>
      <color theme="1"/>
      <name val="Calibri"/>
      <family val="2"/>
    </font>
    <font>
      <b/>
      <i/>
      <sz val="9"/>
      <color theme="1"/>
      <name val="Calibri"/>
      <family val="2"/>
    </font>
    <font>
      <sz val="11"/>
      <color theme="1"/>
      <name val="Arial"/>
      <family val="2"/>
      <scheme val="minor"/>
    </font>
    <font>
      <b/>
      <sz val="10"/>
      <color rgb="FF000000"/>
      <name val="Arial"/>
      <family val="2"/>
    </font>
    <font>
      <u/>
      <sz val="11"/>
      <color theme="10"/>
      <name val="Calibri"/>
      <family val="2"/>
    </font>
    <font>
      <u/>
      <sz val="11"/>
      <color theme="10"/>
      <name val="Calibri"/>
      <family val="2"/>
    </font>
    <font>
      <u/>
      <sz val="11"/>
      <color theme="10"/>
      <name val="Calibri"/>
      <family val="2"/>
    </font>
    <font>
      <u/>
      <sz val="11"/>
      <color theme="10"/>
      <name val="Calibri"/>
      <family val="2"/>
    </font>
    <font>
      <b/>
      <sz val="8"/>
      <color theme="1"/>
      <name val="Calibri"/>
      <family val="2"/>
    </font>
    <font>
      <sz val="10"/>
      <color rgb="FF000000"/>
      <name val="Arial"/>
      <family val="2"/>
    </font>
    <font>
      <b/>
      <sz val="10"/>
      <color rgb="FF000000"/>
      <name val="Arial"/>
      <family val="2"/>
    </font>
    <font>
      <sz val="11"/>
      <color rgb="FF414141"/>
      <name val="Arial"/>
      <family val="2"/>
    </font>
    <font>
      <u/>
      <sz val="11"/>
      <color theme="10"/>
      <name val="Arial"/>
      <family val="2"/>
    </font>
    <font>
      <b/>
      <sz val="10"/>
      <color theme="1"/>
      <name val="Arial"/>
      <family val="2"/>
    </font>
    <font>
      <u/>
      <sz val="10"/>
      <color theme="10"/>
      <name val="Arial"/>
      <family val="2"/>
    </font>
    <font>
      <u/>
      <sz val="11"/>
      <color theme="10"/>
      <name val="Arial"/>
      <family val="2"/>
    </font>
    <font>
      <b/>
      <vertAlign val="subscript"/>
      <sz val="10"/>
      <color rgb="FF414141"/>
      <name val="Arial"/>
      <family val="2"/>
    </font>
    <font>
      <b/>
      <u/>
      <sz val="12"/>
      <color theme="1"/>
      <name val="Calibri"/>
      <family val="2"/>
    </font>
    <font>
      <b/>
      <u/>
      <sz val="11"/>
      <color theme="1"/>
      <name val="Arial"/>
      <family val="2"/>
    </font>
    <font>
      <vertAlign val="subscript"/>
      <sz val="11"/>
      <color rgb="FF003366"/>
      <name val="Arial"/>
      <family val="2"/>
    </font>
    <font>
      <sz val="11"/>
      <color rgb="FF003366"/>
      <name val="Arial"/>
      <family val="2"/>
    </font>
    <font>
      <sz val="10"/>
      <color rgb="FF414141"/>
      <name val="Arial"/>
      <family val="2"/>
      <scheme val="minor"/>
    </font>
  </fonts>
  <fills count="36">
    <fill>
      <patternFill patternType="none"/>
    </fill>
    <fill>
      <patternFill patternType="gray125"/>
    </fill>
    <fill>
      <patternFill patternType="solid">
        <fgColor theme="0"/>
        <bgColor theme="0"/>
      </patternFill>
    </fill>
    <fill>
      <patternFill patternType="solid">
        <fgColor rgb="FF92D050"/>
        <bgColor rgb="FF92D050"/>
      </patternFill>
    </fill>
    <fill>
      <patternFill patternType="solid">
        <fgColor rgb="FFFFFF00"/>
        <bgColor rgb="FFFFFF00"/>
      </patternFill>
    </fill>
    <fill>
      <patternFill patternType="solid">
        <fgColor rgb="FFD8D8D8"/>
        <bgColor rgb="FFD8D8D8"/>
      </patternFill>
    </fill>
    <fill>
      <patternFill patternType="solid">
        <fgColor theme="7"/>
        <bgColor theme="7"/>
      </patternFill>
    </fill>
    <fill>
      <patternFill patternType="solid">
        <fgColor rgb="FFF2F2F2"/>
        <bgColor rgb="FFF2F2F2"/>
      </patternFill>
    </fill>
    <fill>
      <patternFill patternType="solid">
        <fgColor rgb="FF666666"/>
        <bgColor rgb="FF666666"/>
      </patternFill>
    </fill>
    <fill>
      <patternFill patternType="solid">
        <fgColor rgb="FFFFFFFF"/>
        <bgColor rgb="FFFFFFFF"/>
      </patternFill>
    </fill>
    <fill>
      <patternFill patternType="solid">
        <fgColor rgb="FF00FF00"/>
        <bgColor rgb="FF00FF00"/>
      </patternFill>
    </fill>
    <fill>
      <patternFill patternType="solid">
        <fgColor rgb="FFF3F3F3"/>
        <bgColor rgb="FFF3F3F3"/>
      </patternFill>
    </fill>
    <fill>
      <patternFill patternType="solid">
        <fgColor rgb="FFD9EAD3"/>
        <bgColor rgb="FFD9EAD3"/>
      </patternFill>
    </fill>
    <fill>
      <patternFill patternType="solid">
        <fgColor rgb="FFFFF2CC"/>
        <bgColor rgb="FFFFF2CC"/>
      </patternFill>
    </fill>
    <fill>
      <patternFill patternType="solid">
        <fgColor rgb="FFE2EFDA"/>
        <bgColor rgb="FFE2EFDA"/>
      </patternFill>
    </fill>
    <fill>
      <patternFill patternType="solid">
        <fgColor rgb="FFC5D6D0"/>
        <bgColor rgb="FFC5D6D0"/>
      </patternFill>
    </fill>
    <fill>
      <patternFill patternType="solid">
        <fgColor rgb="FF364D45"/>
        <bgColor rgb="FF364D45"/>
      </patternFill>
    </fill>
    <fill>
      <patternFill patternType="solid">
        <fgColor rgb="FFE9DBC0"/>
        <bgColor rgb="FFE9DBC0"/>
      </patternFill>
    </fill>
    <fill>
      <patternFill patternType="solid">
        <fgColor theme="8"/>
        <bgColor theme="8"/>
      </patternFill>
    </fill>
    <fill>
      <patternFill patternType="solid">
        <fgColor rgb="FFD7EDED"/>
        <bgColor rgb="FFD7EDED"/>
      </patternFill>
    </fill>
    <fill>
      <patternFill patternType="solid">
        <fgColor rgb="FFD0E0E3"/>
        <bgColor rgb="FFD0E0E3"/>
      </patternFill>
    </fill>
    <fill>
      <patternFill patternType="solid">
        <fgColor theme="9"/>
        <bgColor theme="9"/>
      </patternFill>
    </fill>
    <fill>
      <patternFill patternType="solid">
        <fgColor rgb="FFD3F3F4"/>
        <bgColor rgb="FFD3F3F4"/>
      </patternFill>
    </fill>
    <fill>
      <patternFill patternType="solid">
        <fgColor rgb="FFD9D9D9"/>
        <bgColor rgb="FFD9D9D9"/>
      </patternFill>
    </fill>
    <fill>
      <patternFill patternType="solid">
        <fgColor rgb="FFDCE6F1"/>
        <bgColor rgb="FFDCE6F1"/>
      </patternFill>
    </fill>
    <fill>
      <patternFill patternType="solid">
        <fgColor rgb="FF00FFFF"/>
        <bgColor rgb="FF00FFFF"/>
      </patternFill>
    </fill>
    <fill>
      <patternFill patternType="solid">
        <fgColor rgb="FF9E9E9E"/>
        <bgColor rgb="FF9E9E9E"/>
      </patternFill>
    </fill>
    <fill>
      <patternFill patternType="solid">
        <fgColor rgb="FFEADBC0"/>
        <bgColor rgb="FFEADBC0"/>
      </patternFill>
    </fill>
    <fill>
      <patternFill patternType="solid">
        <fgColor rgb="FFCCCCCC"/>
        <bgColor rgb="FFCCCCCC"/>
      </patternFill>
    </fill>
    <fill>
      <patternFill patternType="solid">
        <fgColor rgb="FFEDEDED"/>
        <bgColor rgb="FFEDEDED"/>
      </patternFill>
    </fill>
    <fill>
      <patternFill patternType="solid">
        <fgColor rgb="FFC6EFCE"/>
        <bgColor rgb="FFC6EFCE"/>
      </patternFill>
    </fill>
    <fill>
      <patternFill patternType="solid">
        <fgColor rgb="FFFFC7CE"/>
        <bgColor rgb="FFFFC7CE"/>
      </patternFill>
    </fill>
    <fill>
      <patternFill patternType="solid">
        <fgColor rgb="FFF4CCCC"/>
        <bgColor rgb="FFF4CCCC"/>
      </patternFill>
    </fill>
    <fill>
      <patternFill patternType="solid">
        <fgColor rgb="FFD9D2E9"/>
        <bgColor rgb="FFD9D2E9"/>
      </patternFill>
    </fill>
    <fill>
      <patternFill patternType="solid">
        <fgColor rgb="FFEFEFEF"/>
        <bgColor rgb="FFEFEFEF"/>
      </patternFill>
    </fill>
    <fill>
      <patternFill patternType="solid">
        <fgColor rgb="FFE5D3B2"/>
        <bgColor rgb="FFE5D3B2"/>
      </patternFill>
    </fill>
  </fills>
  <borders count="252">
    <border>
      <left/>
      <right/>
      <top/>
      <bottom/>
      <diagonal/>
    </border>
    <border>
      <left/>
      <right/>
      <top/>
      <bottom/>
      <diagonal/>
    </border>
    <border>
      <left/>
      <right/>
      <top style="thin">
        <color theme="7"/>
      </top>
      <bottom/>
      <diagonal/>
    </border>
    <border>
      <left/>
      <right/>
      <top style="thin">
        <color theme="7"/>
      </top>
      <bottom/>
      <diagonal/>
    </border>
    <border>
      <left/>
      <right/>
      <top/>
      <bottom style="thin">
        <color rgb="FFD4B77F"/>
      </bottom>
      <diagonal/>
    </border>
    <border>
      <left style="thin">
        <color rgb="FF414141"/>
      </left>
      <right style="thin">
        <color rgb="FF414141"/>
      </right>
      <top style="thin">
        <color rgb="FF414141"/>
      </top>
      <bottom style="thin">
        <color rgb="FF414141"/>
      </bottom>
      <diagonal/>
    </border>
    <border>
      <left style="thin">
        <color rgb="FF000000"/>
      </left>
      <right style="thin">
        <color rgb="FF000000"/>
      </right>
      <top style="thin">
        <color rgb="FF000000"/>
      </top>
      <bottom style="thin">
        <color rgb="FF000000"/>
      </bottom>
      <diagonal/>
    </border>
    <border>
      <left/>
      <right style="thin">
        <color rgb="FF414141"/>
      </right>
      <top style="thin">
        <color rgb="FF414141"/>
      </top>
      <bottom style="thin">
        <color rgb="FF41414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414141"/>
      </right>
      <top style="thin">
        <color rgb="FF414141"/>
      </top>
      <bottom/>
      <diagonal/>
    </border>
    <border>
      <left style="thin">
        <color rgb="FF414141"/>
      </left>
      <right style="thin">
        <color rgb="FF414141"/>
      </right>
      <top style="thin">
        <color rgb="FF414141"/>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medium">
        <color rgb="FF000000"/>
      </top>
      <bottom style="thin">
        <color rgb="FF000000"/>
      </bottom>
      <diagonal/>
    </border>
    <border>
      <left style="thin">
        <color rgb="FF999999"/>
      </left>
      <right style="thin">
        <color rgb="FF999999"/>
      </right>
      <top style="thin">
        <color rgb="FF999999"/>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999999"/>
      </left>
      <right style="thin">
        <color rgb="FF999999"/>
      </right>
      <top/>
      <bottom style="thin">
        <color rgb="FF999999"/>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
      <left/>
      <right/>
      <top/>
      <bottom/>
      <diagonal/>
    </border>
    <border>
      <left/>
      <right/>
      <top/>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right/>
      <top/>
      <bottom/>
      <diagonal/>
    </border>
    <border>
      <left/>
      <right/>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right/>
      <top/>
      <bottom style="thin">
        <color rgb="FFB7B7B7"/>
      </bottom>
      <diagonal/>
    </border>
    <border>
      <left/>
      <right style="thin">
        <color rgb="FFB7B7B7"/>
      </right>
      <top/>
      <bottom style="thin">
        <color rgb="FFB7B7B7"/>
      </bottom>
      <diagonal/>
    </border>
    <border>
      <left/>
      <right style="thin">
        <color rgb="FFB7B7B7"/>
      </right>
      <top/>
      <bottom/>
      <diagonal/>
    </border>
    <border>
      <left/>
      <right/>
      <top/>
      <bottom style="thin">
        <color rgb="FFB7B7B7"/>
      </bottom>
      <diagonal/>
    </border>
    <border>
      <left/>
      <right style="thin">
        <color rgb="FFB7B7B7"/>
      </right>
      <top/>
      <bottom style="thin">
        <color rgb="FFB7B7B7"/>
      </bottom>
      <diagonal/>
    </border>
    <border>
      <left/>
      <right/>
      <top style="thin">
        <color rgb="FFB7B7B7"/>
      </top>
      <bottom style="thin">
        <color rgb="FFB7B7B7"/>
      </bottom>
      <diagonal/>
    </border>
    <border>
      <left/>
      <right/>
      <top/>
      <bottom/>
      <diagonal/>
    </border>
    <border>
      <left style="thin">
        <color rgb="FFB7B7B7"/>
      </left>
      <right/>
      <top style="thin">
        <color rgb="FFB7B7B7"/>
      </top>
      <bottom/>
      <diagonal/>
    </border>
    <border>
      <left/>
      <right/>
      <top style="thin">
        <color rgb="FFB7B7B7"/>
      </top>
      <bottom/>
      <diagonal/>
    </border>
    <border>
      <left/>
      <right style="thin">
        <color rgb="FFB7B7B7"/>
      </right>
      <top style="thin">
        <color rgb="FFB7B7B7"/>
      </top>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style="thin">
        <color rgb="FFB7B7B7"/>
      </right>
      <top style="thin">
        <color rgb="FFB7B7B7"/>
      </top>
      <bottom style="thin">
        <color rgb="FFB7B7B7"/>
      </bottom>
      <diagonal/>
    </border>
    <border>
      <left style="thin">
        <color rgb="FFB7B7B7"/>
      </left>
      <right style="thin">
        <color rgb="FF999999"/>
      </right>
      <top style="thin">
        <color rgb="FFB7B7B7"/>
      </top>
      <bottom style="thin">
        <color rgb="FFB7B7B7"/>
      </bottom>
      <diagonal/>
    </border>
    <border>
      <left/>
      <right style="thin">
        <color rgb="FF000000"/>
      </right>
      <top style="thin">
        <color rgb="FFB7B7B7"/>
      </top>
      <bottom style="thin">
        <color rgb="FFB7B7B7"/>
      </bottom>
      <diagonal/>
    </border>
    <border>
      <left style="thin">
        <color rgb="FF000000"/>
      </left>
      <right/>
      <top/>
      <bottom/>
      <diagonal/>
    </border>
    <border>
      <left/>
      <right style="thin">
        <color rgb="FF000000"/>
      </right>
      <top/>
      <bottom/>
      <diagonal/>
    </border>
    <border>
      <left style="thin">
        <color rgb="FFB7B7B7"/>
      </left>
      <right style="thin">
        <color rgb="FFB7B7B7"/>
      </right>
      <top style="thin">
        <color rgb="FFB7B7B7"/>
      </top>
      <bottom style="thin">
        <color rgb="FF999999"/>
      </bottom>
      <diagonal/>
    </border>
    <border>
      <left/>
      <right/>
      <top/>
      <bottom style="thin">
        <color rgb="FF999999"/>
      </bottom>
      <diagonal/>
    </border>
    <border>
      <left style="thin">
        <color rgb="FF999999"/>
      </left>
      <right/>
      <top/>
      <bottom style="thin">
        <color rgb="FF999999"/>
      </bottom>
      <diagonal/>
    </border>
    <border>
      <left/>
      <right style="thin">
        <color rgb="FF999999"/>
      </right>
      <top/>
      <bottom style="thin">
        <color rgb="FF999999"/>
      </bottom>
      <diagonal/>
    </border>
    <border>
      <left/>
      <right/>
      <top/>
      <bottom style="thin">
        <color rgb="FF999999"/>
      </bottom>
      <diagonal/>
    </border>
    <border>
      <left/>
      <right style="thin">
        <color rgb="FF000000"/>
      </right>
      <top/>
      <bottom style="thin">
        <color rgb="FF999999"/>
      </bottom>
      <diagonal/>
    </border>
    <border>
      <left/>
      <right/>
      <top/>
      <bottom style="thin">
        <color rgb="FF999999"/>
      </bottom>
      <diagonal/>
    </border>
    <border>
      <left/>
      <right style="thin">
        <color rgb="FFB7B7B7"/>
      </right>
      <top/>
      <bottom style="thin">
        <color rgb="FF999999"/>
      </bottom>
      <diagonal/>
    </border>
    <border>
      <left style="thin">
        <color rgb="FFB7B7B7"/>
      </left>
      <right style="thin">
        <color rgb="FFB7B7B7"/>
      </right>
      <top/>
      <bottom style="thin">
        <color rgb="FF999999"/>
      </bottom>
      <diagonal/>
    </border>
    <border>
      <left style="thin">
        <color rgb="FF999999"/>
      </left>
      <right/>
      <top/>
      <bottom style="thin">
        <color rgb="FF999999"/>
      </bottom>
      <diagonal/>
    </border>
    <border>
      <left/>
      <right style="thin">
        <color rgb="FF999999"/>
      </right>
      <top/>
      <bottom style="thin">
        <color rgb="FF999999"/>
      </bottom>
      <diagonal/>
    </border>
    <border>
      <left/>
      <right style="thin">
        <color rgb="FF000000"/>
      </right>
      <top/>
      <bottom style="thin">
        <color rgb="FF999999"/>
      </bottom>
      <diagonal/>
    </border>
    <border>
      <left/>
      <right/>
      <top/>
      <bottom style="thin">
        <color rgb="FF999999"/>
      </bottom>
      <diagonal/>
    </border>
    <border>
      <left/>
      <right style="thin">
        <color rgb="FFB7B7B7"/>
      </right>
      <top/>
      <bottom style="thin">
        <color rgb="FF999999"/>
      </bottom>
      <diagonal/>
    </border>
    <border>
      <left style="thin">
        <color rgb="FF999999"/>
      </left>
      <right/>
      <top/>
      <bottom/>
      <diagonal/>
    </border>
    <border>
      <left/>
      <right style="thin">
        <color rgb="FF999999"/>
      </right>
      <top/>
      <bottom/>
      <diagonal/>
    </border>
    <border>
      <left/>
      <right/>
      <top/>
      <bottom/>
      <diagonal/>
    </border>
    <border>
      <left/>
      <right style="thin">
        <color rgb="FFB7B7B7"/>
      </right>
      <top/>
      <bottom/>
      <diagonal/>
    </border>
    <border>
      <left style="thin">
        <color rgb="FF000000"/>
      </left>
      <right style="thin">
        <color rgb="FFB7B7B7"/>
      </right>
      <top style="thin">
        <color rgb="FF000000"/>
      </top>
      <bottom style="thin">
        <color rgb="FF000000"/>
      </bottom>
      <diagonal/>
    </border>
    <border>
      <left style="thin">
        <color rgb="FF999999"/>
      </left>
      <right/>
      <top style="thin">
        <color rgb="FF000000"/>
      </top>
      <bottom style="thin">
        <color rgb="FF000000"/>
      </bottom>
      <diagonal/>
    </border>
    <border>
      <left/>
      <right style="thin">
        <color rgb="FF999999"/>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bottom/>
      <diagonal/>
    </border>
    <border>
      <left style="thin">
        <color rgb="FFB7B7B7"/>
      </left>
      <right/>
      <top/>
      <bottom/>
      <diagonal/>
    </border>
    <border>
      <left style="thin">
        <color rgb="FF999999"/>
      </left>
      <right/>
      <top/>
      <bottom/>
      <diagonal/>
    </border>
    <border>
      <left/>
      <right style="thin">
        <color rgb="FF999999"/>
      </right>
      <top/>
      <bottom/>
      <diagonal/>
    </border>
    <border>
      <left/>
      <right/>
      <top/>
      <bottom/>
      <diagonal/>
    </border>
    <border>
      <left style="thin">
        <color rgb="FFB7B7B7"/>
      </left>
      <right/>
      <top/>
      <bottom style="thin">
        <color rgb="FF999999"/>
      </bottom>
      <diagonal/>
    </border>
    <border>
      <left style="thin">
        <color rgb="FF999999"/>
      </left>
      <right/>
      <top/>
      <bottom/>
      <diagonal/>
    </border>
    <border>
      <left/>
      <right style="thin">
        <color rgb="FF999999"/>
      </right>
      <top/>
      <bottom/>
      <diagonal/>
    </border>
    <border>
      <left/>
      <right style="thin">
        <color rgb="FFB7B7B7"/>
      </right>
      <top/>
      <bottom/>
      <diagonal/>
    </border>
    <border>
      <left/>
      <right style="thin">
        <color rgb="FF999999"/>
      </right>
      <top/>
      <bottom/>
      <diagonal/>
    </border>
    <border>
      <left/>
      <right/>
      <top/>
      <bottom/>
      <diagonal/>
    </border>
    <border>
      <left/>
      <right style="thin">
        <color rgb="FFB7B7B7"/>
      </right>
      <top/>
      <bottom/>
      <diagonal/>
    </border>
    <border>
      <left style="thin">
        <color rgb="FF999999"/>
      </left>
      <right/>
      <top style="thin">
        <color rgb="FFB7B7B7"/>
      </top>
      <bottom style="thin">
        <color rgb="FF999999"/>
      </bottom>
      <diagonal/>
    </border>
    <border>
      <left/>
      <right/>
      <top style="thin">
        <color rgb="FFB7B7B7"/>
      </top>
      <bottom style="thin">
        <color rgb="FF999999"/>
      </bottom>
      <diagonal/>
    </border>
    <border>
      <left/>
      <right style="thin">
        <color rgb="FF999999"/>
      </right>
      <top style="thin">
        <color rgb="FFB7B7B7"/>
      </top>
      <bottom style="thin">
        <color rgb="FF999999"/>
      </bottom>
      <diagonal/>
    </border>
    <border>
      <left/>
      <right/>
      <top style="thin">
        <color rgb="FFB7B7B7"/>
      </top>
      <bottom/>
      <diagonal/>
    </border>
    <border>
      <left style="thin">
        <color rgb="FF000000"/>
      </left>
      <right style="thin">
        <color rgb="FF000000"/>
      </right>
      <top style="thin">
        <color rgb="FFB7B7B7"/>
      </top>
      <bottom style="thin">
        <color rgb="FFB7B7B7"/>
      </bottom>
      <diagonal/>
    </border>
    <border>
      <left style="thin">
        <color rgb="FF999999"/>
      </left>
      <right/>
      <top style="thin">
        <color rgb="FF999999"/>
      </top>
      <bottom style="thin">
        <color rgb="FFB7B7B7"/>
      </bottom>
      <diagonal/>
    </border>
    <border>
      <left/>
      <right/>
      <top style="thin">
        <color rgb="FF999999"/>
      </top>
      <bottom style="thin">
        <color rgb="FFB7B7B7"/>
      </bottom>
      <diagonal/>
    </border>
    <border>
      <left/>
      <right style="thin">
        <color rgb="FF999999"/>
      </right>
      <top style="thin">
        <color rgb="FF999999"/>
      </top>
      <bottom style="thin">
        <color rgb="FFB7B7B7"/>
      </bottom>
      <diagonal/>
    </border>
    <border>
      <left style="thin">
        <color rgb="FF999999"/>
      </left>
      <right style="thin">
        <color rgb="FFB7B7B7"/>
      </right>
      <top/>
      <bottom style="thin">
        <color rgb="FFB7B7B7"/>
      </bottom>
      <diagonal/>
    </border>
    <border>
      <left/>
      <right style="thin">
        <color rgb="FF999999"/>
      </right>
      <top/>
      <bottom style="thin">
        <color rgb="FFB7B7B7"/>
      </bottom>
      <diagonal/>
    </border>
    <border>
      <left/>
      <right/>
      <top/>
      <bottom/>
      <diagonal/>
    </border>
    <border>
      <left style="thin">
        <color rgb="FF999999"/>
      </left>
      <right/>
      <top/>
      <bottom/>
      <diagonal/>
    </border>
    <border>
      <left style="thin">
        <color rgb="FF999999"/>
      </left>
      <right/>
      <top/>
      <bottom style="thin">
        <color rgb="FF999999"/>
      </bottom>
      <diagonal/>
    </border>
    <border>
      <left/>
      <right/>
      <top/>
      <bottom/>
      <diagonal/>
    </border>
    <border>
      <left style="thin">
        <color rgb="FF999999"/>
      </left>
      <right/>
      <top style="thin">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bottom style="thin">
        <color rgb="FFB7B7B7"/>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style="thin">
        <color rgb="FF999999"/>
      </bottom>
      <diagonal/>
    </border>
    <border>
      <left style="medium">
        <color rgb="FF999999"/>
      </left>
      <right style="medium">
        <color rgb="FF999999"/>
      </right>
      <top style="medium">
        <color rgb="FF999999"/>
      </top>
      <bottom style="medium">
        <color rgb="FF999999"/>
      </bottom>
      <diagonal/>
    </border>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999999"/>
      </left>
      <right/>
      <top/>
      <bottom/>
      <diagonal/>
    </border>
    <border>
      <left style="thin">
        <color rgb="FF999999"/>
      </left>
      <right/>
      <top/>
      <bottom style="hair">
        <color rgb="FF000000"/>
      </bottom>
      <diagonal/>
    </border>
    <border>
      <left/>
      <right style="hair">
        <color rgb="FF000000"/>
      </right>
      <top/>
      <bottom style="hair">
        <color rgb="FF000000"/>
      </bottom>
      <diagonal/>
    </border>
    <border>
      <left/>
      <right/>
      <top/>
      <bottom style="hair">
        <color rgb="FF000000"/>
      </bottom>
      <diagonal/>
    </border>
    <border>
      <left style="thin">
        <color rgb="FF999999"/>
      </left>
      <right style="hair">
        <color rgb="FF000000"/>
      </right>
      <top/>
      <bottom style="hair">
        <color rgb="FF000000"/>
      </bottom>
      <diagonal/>
    </border>
    <border>
      <left style="thin">
        <color rgb="FF999999"/>
      </left>
      <right style="hair">
        <color rgb="FF000000"/>
      </right>
      <top/>
      <bottom style="thin">
        <color rgb="FF999999"/>
      </bottom>
      <diagonal/>
    </border>
    <border>
      <left/>
      <right style="hair">
        <color rgb="FF000000"/>
      </right>
      <top/>
      <bottom style="thin">
        <color rgb="FF999999"/>
      </bottom>
      <diagonal/>
    </border>
    <border>
      <left style="thin">
        <color rgb="FFB7B7B7"/>
      </left>
      <right/>
      <top style="thin">
        <color rgb="FFB7B7B7"/>
      </top>
      <bottom style="thin">
        <color rgb="FF999999"/>
      </bottom>
      <diagonal/>
    </border>
    <border>
      <left/>
      <right style="thin">
        <color rgb="FFB7B7B7"/>
      </right>
      <top style="thin">
        <color rgb="FFB7B7B7"/>
      </top>
      <bottom style="thin">
        <color rgb="FF999999"/>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hair">
        <color rgb="FF000000"/>
      </right>
      <top style="hair">
        <color rgb="FF000000"/>
      </top>
      <bottom/>
      <diagonal/>
    </border>
    <border>
      <left style="medium">
        <color rgb="FF999999"/>
      </left>
      <right style="medium">
        <color rgb="FF999999"/>
      </right>
      <top style="medium">
        <color rgb="FF999999"/>
      </top>
      <bottom/>
      <diagonal/>
    </border>
    <border>
      <left style="medium">
        <color rgb="FF999999"/>
      </left>
      <right style="hair">
        <color rgb="FF000000"/>
      </right>
      <top style="medium">
        <color rgb="FF999999"/>
      </top>
      <bottom style="hair">
        <color rgb="FF000000"/>
      </bottom>
      <diagonal/>
    </border>
    <border>
      <left/>
      <right style="hair">
        <color rgb="FF000000"/>
      </right>
      <top style="medium">
        <color rgb="FF999999"/>
      </top>
      <bottom style="hair">
        <color rgb="FF000000"/>
      </bottom>
      <diagonal/>
    </border>
    <border>
      <left/>
      <right style="medium">
        <color rgb="FF999999"/>
      </right>
      <top style="medium">
        <color rgb="FF999999"/>
      </top>
      <bottom style="hair">
        <color rgb="FF000000"/>
      </bottom>
      <diagonal/>
    </border>
    <border>
      <left style="medium">
        <color rgb="FF999999"/>
      </left>
      <right style="medium">
        <color rgb="FF999999"/>
      </right>
      <top/>
      <bottom/>
      <diagonal/>
    </border>
    <border>
      <left style="medium">
        <color rgb="FF999999"/>
      </left>
      <right style="hair">
        <color rgb="FF000000"/>
      </right>
      <top/>
      <bottom style="hair">
        <color rgb="FF000000"/>
      </bottom>
      <diagonal/>
    </border>
    <border>
      <left/>
      <right style="medium">
        <color rgb="FF999999"/>
      </right>
      <top/>
      <bottom style="hair">
        <color rgb="FF000000"/>
      </bottom>
      <diagonal/>
    </border>
    <border>
      <left style="medium">
        <color rgb="FF999999"/>
      </left>
      <right style="hair">
        <color rgb="FF000000"/>
      </right>
      <top/>
      <bottom style="medium">
        <color rgb="FF999999"/>
      </bottom>
      <diagonal/>
    </border>
    <border>
      <left/>
      <right style="hair">
        <color rgb="FF000000"/>
      </right>
      <top/>
      <bottom style="medium">
        <color rgb="FF999999"/>
      </bottom>
      <diagonal/>
    </border>
    <border>
      <left/>
      <right style="medium">
        <color rgb="FF999999"/>
      </right>
      <top/>
      <bottom style="medium">
        <color rgb="FF999999"/>
      </bottom>
      <diagonal/>
    </border>
    <border>
      <left style="medium">
        <color rgb="FF999999"/>
      </left>
      <right style="medium">
        <color rgb="FF999999"/>
      </right>
      <top/>
      <bottom style="medium">
        <color rgb="FF999999"/>
      </bottom>
      <diagonal/>
    </border>
    <border>
      <left style="medium">
        <color rgb="FF999999"/>
      </left>
      <right style="hair">
        <color rgb="FF000000"/>
      </right>
      <top/>
      <bottom/>
      <diagonal/>
    </border>
    <border>
      <left/>
      <right style="hair">
        <color rgb="FF000000"/>
      </right>
      <top/>
      <bottom/>
      <diagonal/>
    </border>
    <border>
      <left/>
      <right style="medium">
        <color rgb="FF999999"/>
      </right>
      <top/>
      <bottom/>
      <diagonal/>
    </border>
    <border>
      <left style="medium">
        <color rgb="FF999999"/>
      </left>
      <right/>
      <top style="medium">
        <color rgb="FF999999"/>
      </top>
      <bottom/>
      <diagonal/>
    </border>
    <border>
      <left style="hair">
        <color rgb="FF000000"/>
      </left>
      <right style="hair">
        <color rgb="FF000000"/>
      </right>
      <top style="medium">
        <color rgb="FF999999"/>
      </top>
      <bottom style="hair">
        <color rgb="FF000000"/>
      </bottom>
      <diagonal/>
    </border>
    <border>
      <left style="medium">
        <color rgb="FF999999"/>
      </left>
      <right/>
      <top/>
      <bottom/>
      <diagonal/>
    </border>
    <border>
      <left style="medium">
        <color rgb="FF999999"/>
      </left>
      <right/>
      <top/>
      <bottom style="medium">
        <color rgb="FF999999"/>
      </bottom>
      <diagonal/>
    </border>
    <border>
      <left style="medium">
        <color rgb="FF999999"/>
      </left>
      <right/>
      <top style="medium">
        <color rgb="FF999999"/>
      </top>
      <bottom style="medium">
        <color rgb="FF999999"/>
      </bottom>
      <diagonal/>
    </border>
    <border>
      <left/>
      <right style="hair">
        <color rgb="FF000000"/>
      </right>
      <top style="medium">
        <color rgb="FF999999"/>
      </top>
      <bottom style="medium">
        <color rgb="FF999999"/>
      </bottom>
      <diagonal/>
    </border>
    <border>
      <left/>
      <right style="medium">
        <color rgb="FF999999"/>
      </right>
      <top style="medium">
        <color rgb="FF999999"/>
      </top>
      <bottom style="medium">
        <color rgb="FF999999"/>
      </bottom>
      <diagonal/>
    </border>
    <border>
      <left style="thin">
        <color rgb="FFB7B7B7"/>
      </left>
      <right/>
      <top style="thin">
        <color rgb="FFB7B7B7"/>
      </top>
      <bottom style="hair">
        <color rgb="FF000000"/>
      </bottom>
      <diagonal/>
    </border>
    <border>
      <left/>
      <right/>
      <top style="thin">
        <color rgb="FFB7B7B7"/>
      </top>
      <bottom style="hair">
        <color rgb="FF000000"/>
      </bottom>
      <diagonal/>
    </border>
    <border>
      <left/>
      <right style="thin">
        <color rgb="FFB7B7B7"/>
      </right>
      <top style="thin">
        <color rgb="FFB7B7B7"/>
      </top>
      <bottom style="hair">
        <color rgb="FF000000"/>
      </bottom>
      <diagonal/>
    </border>
    <border>
      <left style="thin">
        <color rgb="FFB7B7B7"/>
      </left>
      <right style="hair">
        <color rgb="FF000000"/>
      </right>
      <top/>
      <bottom style="hair">
        <color rgb="FF000000"/>
      </bottom>
      <diagonal/>
    </border>
    <border>
      <left/>
      <right style="thin">
        <color rgb="FFB7B7B7"/>
      </right>
      <top/>
      <bottom style="hair">
        <color rgb="FF000000"/>
      </bottom>
      <diagonal/>
    </border>
    <border>
      <left style="thin">
        <color rgb="FFB7B7B7"/>
      </left>
      <right style="hair">
        <color rgb="FF000000"/>
      </right>
      <top/>
      <bottom style="thin">
        <color rgb="FFB7B7B7"/>
      </bottom>
      <diagonal/>
    </border>
    <border>
      <left/>
      <right style="hair">
        <color rgb="FF000000"/>
      </right>
      <top/>
      <bottom style="thin">
        <color rgb="FFB7B7B7"/>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999999"/>
      </left>
      <right/>
      <top style="thin">
        <color rgb="FF999999"/>
      </top>
      <bottom style="thin">
        <color rgb="FF000000"/>
      </bottom>
      <diagonal/>
    </border>
    <border>
      <left/>
      <right/>
      <top style="thin">
        <color rgb="FF999999"/>
      </top>
      <bottom style="thin">
        <color rgb="FF000000"/>
      </bottom>
      <diagonal/>
    </border>
    <border>
      <left/>
      <right style="thin">
        <color rgb="FF999999"/>
      </right>
      <top style="thin">
        <color rgb="FF999999"/>
      </top>
      <bottom style="thin">
        <color rgb="FF000000"/>
      </bottom>
      <diagonal/>
    </border>
    <border>
      <left/>
      <right style="thin">
        <color rgb="FF999999"/>
      </right>
      <top/>
      <bottom style="hair">
        <color rgb="FF000000"/>
      </bottom>
      <diagonal/>
    </border>
    <border>
      <left/>
      <right style="thin">
        <color rgb="FF999999"/>
      </right>
      <top/>
      <bottom style="thin">
        <color rgb="FF999999"/>
      </bottom>
      <diagonal/>
    </border>
    <border>
      <left style="dotted">
        <color rgb="FF000000"/>
      </left>
      <right style="dotted">
        <color rgb="FF000000"/>
      </right>
      <top/>
      <bottom style="dotted">
        <color rgb="FF000000"/>
      </bottom>
      <diagonal/>
    </border>
    <border>
      <left style="dotted">
        <color rgb="FF000000"/>
      </left>
      <right style="dotted">
        <color rgb="FF000000"/>
      </right>
      <top style="dotted">
        <color rgb="FF000000"/>
      </top>
      <bottom style="dotted">
        <color rgb="FF000000"/>
      </bottom>
      <diagonal/>
    </border>
    <border>
      <left style="thin">
        <color rgb="FF000000"/>
      </left>
      <right/>
      <top/>
      <bottom style="hair">
        <color rgb="FF000000"/>
      </bottom>
      <diagonal/>
    </border>
    <border>
      <left/>
      <right style="thin">
        <color rgb="FF000000"/>
      </right>
      <top/>
      <bottom style="hair">
        <color rgb="FF000000"/>
      </bottom>
      <diagonal/>
    </border>
    <border>
      <left style="thin">
        <color rgb="FFB7B7B7"/>
      </left>
      <right style="dotted">
        <color rgb="FF000000"/>
      </right>
      <top style="thin">
        <color rgb="FFB7B7B7"/>
      </top>
      <bottom style="dotted">
        <color rgb="FF000000"/>
      </bottom>
      <diagonal/>
    </border>
    <border>
      <left style="dotted">
        <color rgb="FF000000"/>
      </left>
      <right style="dotted">
        <color rgb="FF000000"/>
      </right>
      <top style="thin">
        <color rgb="FFB7B7B7"/>
      </top>
      <bottom style="dotted">
        <color rgb="FF000000"/>
      </bottom>
      <diagonal/>
    </border>
    <border>
      <left/>
      <right style="thin">
        <color rgb="FFB7B7B7"/>
      </right>
      <top style="thin">
        <color rgb="FFB7B7B7"/>
      </top>
      <bottom/>
      <diagonal/>
    </border>
    <border>
      <left style="thin">
        <color rgb="FFB7B7B7"/>
      </left>
      <right style="dotted">
        <color rgb="FF000000"/>
      </right>
      <top style="dotted">
        <color rgb="FF000000"/>
      </top>
      <bottom style="dotted">
        <color rgb="FF000000"/>
      </bottom>
      <diagonal/>
    </border>
    <border>
      <left style="thin">
        <color rgb="FFB7B7B7"/>
      </left>
      <right style="dotted">
        <color rgb="FF000000"/>
      </right>
      <top style="dotted">
        <color rgb="FF000000"/>
      </top>
      <bottom style="thin">
        <color rgb="FFB7B7B7"/>
      </bottom>
      <diagonal/>
    </border>
    <border>
      <left style="dotted">
        <color rgb="FF000000"/>
      </left>
      <right style="dotted">
        <color rgb="FF000000"/>
      </right>
      <top style="dotted">
        <color rgb="FF000000"/>
      </top>
      <bottom style="thin">
        <color rgb="FFB7B7B7"/>
      </bottom>
      <diagonal/>
    </border>
    <border>
      <left/>
      <right/>
      <top style="thin">
        <color rgb="FFB7B7B7"/>
      </top>
      <bottom/>
      <diagonal/>
    </border>
    <border>
      <left style="thin">
        <color rgb="FFB7B7B7"/>
      </left>
      <right style="dotted">
        <color rgb="FF000000"/>
      </right>
      <top style="thin">
        <color rgb="FFB7B7B7"/>
      </top>
      <bottom style="thin">
        <color rgb="FFB7B7B7"/>
      </bottom>
      <diagonal/>
    </border>
    <border>
      <left style="dotted">
        <color rgb="FF000000"/>
      </left>
      <right style="dotted">
        <color rgb="FF000000"/>
      </right>
      <top style="thin">
        <color rgb="FFB7B7B7"/>
      </top>
      <bottom style="thin">
        <color rgb="FFB7B7B7"/>
      </bottom>
      <diagonal/>
    </border>
    <border>
      <left/>
      <right/>
      <top style="thin">
        <color rgb="FFB7B7B7"/>
      </top>
      <bottom style="thin">
        <color rgb="FFB7B7B7"/>
      </bottom>
      <diagonal/>
    </border>
    <border>
      <left style="thin">
        <color rgb="FF000000"/>
      </left>
      <right style="thin">
        <color rgb="FFB7B7B7"/>
      </right>
      <top style="thin">
        <color rgb="FFB7B7B7"/>
      </top>
      <bottom style="thin">
        <color rgb="FFB7B7B7"/>
      </bottom>
      <diagonal/>
    </border>
    <border>
      <left style="thin">
        <color rgb="FF999999"/>
      </left>
      <right style="thin">
        <color rgb="FF000000"/>
      </right>
      <top style="thin">
        <color rgb="FF999999"/>
      </top>
      <bottom style="thin">
        <color rgb="FF000000"/>
      </bottom>
      <diagonal/>
    </border>
    <border>
      <left style="thin">
        <color rgb="FF000000"/>
      </left>
      <right style="thin">
        <color rgb="FF999999"/>
      </right>
      <top style="thin">
        <color rgb="FF999999"/>
      </top>
      <bottom style="thin">
        <color rgb="FF000000"/>
      </bottom>
      <diagonal/>
    </border>
    <border>
      <left style="thin">
        <color rgb="FF999999"/>
      </left>
      <right style="thin">
        <color rgb="FF000000"/>
      </right>
      <top style="thin">
        <color rgb="FF000000"/>
      </top>
      <bottom style="thin">
        <color rgb="FF000000"/>
      </bottom>
      <diagonal/>
    </border>
    <border>
      <left style="thin">
        <color rgb="FF000000"/>
      </left>
      <right style="thin">
        <color rgb="FF999999"/>
      </right>
      <top style="thin">
        <color rgb="FF000000"/>
      </top>
      <bottom/>
      <diagonal/>
    </border>
    <border>
      <left style="thin">
        <color rgb="FF000000"/>
      </left>
      <right/>
      <top style="thin">
        <color rgb="FF000000"/>
      </top>
      <bottom/>
      <diagonal/>
    </border>
    <border>
      <left style="thin">
        <color rgb="FF000000"/>
      </left>
      <right/>
      <top/>
      <bottom/>
      <diagonal/>
    </border>
    <border>
      <left style="hair">
        <color rgb="FF000000"/>
      </left>
      <right style="hair">
        <color rgb="FF000000"/>
      </right>
      <top style="hair">
        <color rgb="FF000000"/>
      </top>
      <bottom style="hair">
        <color rgb="FF000000"/>
      </bottom>
      <diagonal/>
    </border>
    <border>
      <left style="thin">
        <color rgb="FF000000"/>
      </left>
      <right/>
      <top/>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ck">
        <color rgb="FF999999"/>
      </left>
      <right style="thin">
        <color rgb="FF999999"/>
      </right>
      <top style="thick">
        <color rgb="FF999999"/>
      </top>
      <bottom style="thin">
        <color rgb="FF999999"/>
      </bottom>
      <diagonal/>
    </border>
    <border>
      <left style="thin">
        <color rgb="FF999999"/>
      </left>
      <right style="thin">
        <color rgb="FF999999"/>
      </right>
      <top style="thick">
        <color rgb="FF999999"/>
      </top>
      <bottom style="thin">
        <color rgb="FF999999"/>
      </bottom>
      <diagonal/>
    </border>
    <border>
      <left style="thin">
        <color rgb="FF999999"/>
      </left>
      <right style="thick">
        <color rgb="FF999999"/>
      </right>
      <top style="thick">
        <color rgb="FF999999"/>
      </top>
      <bottom style="thin">
        <color rgb="FF999999"/>
      </bottom>
      <diagonal/>
    </border>
    <border>
      <left style="thick">
        <color rgb="FF999999"/>
      </left>
      <right style="thin">
        <color rgb="FF999999"/>
      </right>
      <top style="thin">
        <color rgb="FF999999"/>
      </top>
      <bottom style="thin">
        <color rgb="FF999999"/>
      </bottom>
      <diagonal/>
    </border>
    <border>
      <left style="thin">
        <color rgb="FF999999"/>
      </left>
      <right style="thick">
        <color rgb="FF999999"/>
      </right>
      <top style="thin">
        <color rgb="FF999999"/>
      </top>
      <bottom style="thin">
        <color rgb="FF999999"/>
      </bottom>
      <diagonal/>
    </border>
    <border>
      <left style="thick">
        <color rgb="FF999999"/>
      </left>
      <right style="thin">
        <color rgb="FF999999"/>
      </right>
      <top style="thin">
        <color rgb="FF999999"/>
      </top>
      <bottom style="thick">
        <color rgb="FF999999"/>
      </bottom>
      <diagonal/>
    </border>
    <border>
      <left style="thin">
        <color rgb="FF999999"/>
      </left>
      <right style="thin">
        <color rgb="FF999999"/>
      </right>
      <top style="thin">
        <color rgb="FF999999"/>
      </top>
      <bottom style="thick">
        <color rgb="FF999999"/>
      </bottom>
      <diagonal/>
    </border>
    <border>
      <left style="thin">
        <color rgb="FF999999"/>
      </left>
      <right style="thick">
        <color rgb="FF999999"/>
      </right>
      <top style="thin">
        <color rgb="FF999999"/>
      </top>
      <bottom style="thick">
        <color rgb="FF999999"/>
      </bottom>
      <diagonal/>
    </border>
    <border>
      <left/>
      <right/>
      <top style="thin">
        <color rgb="FF999999"/>
      </top>
      <bottom/>
      <diagonal/>
    </border>
    <border>
      <left/>
      <right/>
      <top style="thin">
        <color rgb="FF999999"/>
      </top>
      <bottom/>
      <diagonal/>
    </border>
    <border>
      <left style="thin">
        <color rgb="FF999999"/>
      </left>
      <right style="thin">
        <color rgb="FF999999"/>
      </right>
      <top/>
      <bottom/>
      <diagonal/>
    </border>
    <border>
      <left/>
      <right style="thin">
        <color rgb="FF999999"/>
      </right>
      <top style="thin">
        <color rgb="FF999999"/>
      </top>
      <bottom/>
      <diagonal/>
    </border>
    <border>
      <left/>
      <right style="thin">
        <color rgb="FF999999"/>
      </right>
      <top/>
      <bottom/>
      <diagonal/>
    </border>
    <border>
      <left style="thin">
        <color rgb="FF999999"/>
      </left>
      <right/>
      <top style="thin">
        <color rgb="FF999999"/>
      </top>
      <bottom/>
      <diagonal/>
    </border>
    <border>
      <left/>
      <right/>
      <top style="thin">
        <color rgb="FF999999"/>
      </top>
      <bottom/>
      <diagonal/>
    </border>
    <border>
      <left/>
      <right/>
      <top/>
      <bottom style="thin">
        <color rgb="FF999999"/>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ck">
        <color rgb="FF999999"/>
      </left>
      <right style="thin">
        <color rgb="FF000000"/>
      </right>
      <top style="thick">
        <color rgb="FF999999"/>
      </top>
      <bottom style="thin">
        <color rgb="FF000000"/>
      </bottom>
      <diagonal/>
    </border>
    <border>
      <left style="thin">
        <color rgb="FF000000"/>
      </left>
      <right style="thin">
        <color rgb="FF000000"/>
      </right>
      <top style="thick">
        <color rgb="FF999999"/>
      </top>
      <bottom style="thin">
        <color rgb="FF000000"/>
      </bottom>
      <diagonal/>
    </border>
    <border>
      <left style="thin">
        <color rgb="FF000000"/>
      </left>
      <right style="thick">
        <color rgb="FF999999"/>
      </right>
      <top style="thick">
        <color rgb="FF999999"/>
      </top>
      <bottom style="thin">
        <color rgb="FF000000"/>
      </bottom>
      <diagonal/>
    </border>
    <border>
      <left style="thick">
        <color rgb="FF999999"/>
      </left>
      <right style="thin">
        <color rgb="FF000000"/>
      </right>
      <top style="thin">
        <color rgb="FF000000"/>
      </top>
      <bottom style="thin">
        <color rgb="FF000000"/>
      </bottom>
      <diagonal/>
    </border>
    <border>
      <left style="thin">
        <color rgb="FF000000"/>
      </left>
      <right style="thick">
        <color rgb="FF999999"/>
      </right>
      <top style="thin">
        <color rgb="FF000000"/>
      </top>
      <bottom style="thin">
        <color rgb="FF000000"/>
      </bottom>
      <diagonal/>
    </border>
    <border>
      <left style="thick">
        <color rgb="FF999999"/>
      </left>
      <right style="thin">
        <color rgb="FF000000"/>
      </right>
      <top style="thin">
        <color rgb="FF000000"/>
      </top>
      <bottom style="thick">
        <color rgb="FF999999"/>
      </bottom>
      <diagonal/>
    </border>
    <border>
      <left style="thin">
        <color rgb="FF000000"/>
      </left>
      <right style="thin">
        <color rgb="FF000000"/>
      </right>
      <top style="thin">
        <color rgb="FF000000"/>
      </top>
      <bottom style="thick">
        <color rgb="FF999999"/>
      </bottom>
      <diagonal/>
    </border>
    <border>
      <left style="thin">
        <color rgb="FF000000"/>
      </left>
      <right style="thick">
        <color rgb="FF999999"/>
      </right>
      <top style="thin">
        <color rgb="FF000000"/>
      </top>
      <bottom style="thick">
        <color rgb="FF999999"/>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999999"/>
      </left>
      <right style="thin">
        <color rgb="FF999999"/>
      </right>
      <top style="thin">
        <color rgb="FFB7B7B7"/>
      </top>
      <bottom/>
      <diagonal/>
    </border>
    <border>
      <left style="thin">
        <color rgb="FF000000"/>
      </left>
      <right style="thin">
        <color rgb="FF000000"/>
      </right>
      <top style="thin">
        <color rgb="FF000000"/>
      </top>
      <bottom style="thin">
        <color rgb="FF999999"/>
      </bottom>
      <diagonal/>
    </border>
  </borders>
  <cellStyleXfs count="1">
    <xf numFmtId="0" fontId="0" fillId="0" borderId="0"/>
  </cellStyleXfs>
  <cellXfs count="1594">
    <xf numFmtId="0" fontId="0" fillId="0" borderId="0" xfId="0"/>
    <xf numFmtId="0" fontId="1" fillId="2" borderId="1" xfId="0" applyFont="1" applyFill="1" applyBorder="1"/>
    <xf numFmtId="0" fontId="2" fillId="2" borderId="1" xfId="0" applyFont="1" applyFill="1" applyBorder="1"/>
    <xf numFmtId="0" fontId="3" fillId="2" borderId="2" xfId="0" applyFont="1" applyFill="1" applyBorder="1"/>
    <xf numFmtId="3" fontId="3" fillId="0" borderId="3" xfId="0" applyNumberFormat="1" applyFont="1" applyBorder="1"/>
    <xf numFmtId="3" fontId="3" fillId="3" borderId="2" xfId="0" applyNumberFormat="1" applyFont="1" applyFill="1" applyBorder="1"/>
    <xf numFmtId="3" fontId="3" fillId="2" borderId="2" xfId="0" applyNumberFormat="1" applyFont="1" applyFill="1" applyBorder="1"/>
    <xf numFmtId="4" fontId="3" fillId="2" borderId="2" xfId="0" applyNumberFormat="1" applyFont="1" applyFill="1" applyBorder="1"/>
    <xf numFmtId="9" fontId="1" fillId="2" borderId="1" xfId="0" applyNumberFormat="1" applyFont="1" applyFill="1" applyBorder="1"/>
    <xf numFmtId="3" fontId="1" fillId="2" borderId="1" xfId="0" applyNumberFormat="1" applyFont="1" applyFill="1" applyBorder="1"/>
    <xf numFmtId="3" fontId="3" fillId="0" borderId="0" xfId="0" applyNumberFormat="1" applyFont="1"/>
    <xf numFmtId="4" fontId="1" fillId="2" borderId="1" xfId="0" applyNumberFormat="1" applyFont="1" applyFill="1" applyBorder="1"/>
    <xf numFmtId="3" fontId="1" fillId="4" borderId="1" xfId="0" applyNumberFormat="1" applyFont="1" applyFill="1" applyBorder="1"/>
    <xf numFmtId="0" fontId="1" fillId="4" borderId="1" xfId="0" applyFont="1" applyFill="1" applyBorder="1"/>
    <xf numFmtId="4" fontId="1" fillId="4" borderId="1" xfId="0" applyNumberFormat="1" applyFont="1" applyFill="1" applyBorder="1"/>
    <xf numFmtId="2" fontId="1" fillId="2" borderId="1" xfId="0" applyNumberFormat="1" applyFont="1" applyFill="1" applyBorder="1"/>
    <xf numFmtId="10" fontId="1" fillId="2" borderId="1" xfId="0" applyNumberFormat="1" applyFont="1" applyFill="1" applyBorder="1"/>
    <xf numFmtId="164" fontId="1" fillId="2" borderId="1" xfId="0" applyNumberFormat="1" applyFont="1" applyFill="1" applyBorder="1"/>
    <xf numFmtId="0" fontId="4" fillId="2" borderId="1" xfId="0" applyFont="1" applyFill="1" applyBorder="1"/>
    <xf numFmtId="165" fontId="4" fillId="2" borderId="1" xfId="0" applyNumberFormat="1" applyFont="1" applyFill="1" applyBorder="1"/>
    <xf numFmtId="0" fontId="5" fillId="2" borderId="4" xfId="0" applyFont="1" applyFill="1" applyBorder="1"/>
    <xf numFmtId="0" fontId="6" fillId="2" borderId="1" xfId="0" applyFont="1" applyFill="1" applyBorder="1"/>
    <xf numFmtId="0" fontId="7" fillId="2" borderId="1" xfId="0" applyFont="1" applyFill="1" applyBorder="1"/>
    <xf numFmtId="0" fontId="2" fillId="2" borderId="5" xfId="0" applyFont="1" applyFill="1" applyBorder="1"/>
    <xf numFmtId="0" fontId="2" fillId="2" borderId="6" xfId="0" applyFont="1" applyFill="1" applyBorder="1"/>
    <xf numFmtId="0" fontId="2" fillId="2" borderId="7" xfId="0" applyFont="1" applyFill="1" applyBorder="1"/>
    <xf numFmtId="0" fontId="1" fillId="2" borderId="5" xfId="0" applyFont="1" applyFill="1" applyBorder="1"/>
    <xf numFmtId="165" fontId="1" fillId="2" borderId="5" xfId="0" applyNumberFormat="1" applyFont="1" applyFill="1" applyBorder="1"/>
    <xf numFmtId="9" fontId="4" fillId="2" borderId="5" xfId="0" applyNumberFormat="1" applyFont="1" applyFill="1" applyBorder="1"/>
    <xf numFmtId="0" fontId="3" fillId="2" borderId="6" xfId="0" applyFont="1" applyFill="1" applyBorder="1"/>
    <xf numFmtId="165" fontId="3" fillId="2" borderId="6" xfId="0" applyNumberFormat="1" applyFont="1" applyFill="1" applyBorder="1"/>
    <xf numFmtId="9" fontId="3" fillId="2" borderId="7" xfId="0" applyNumberFormat="1" applyFont="1" applyFill="1" applyBorder="1"/>
    <xf numFmtId="165" fontId="8" fillId="2" borderId="1" xfId="0" applyNumberFormat="1" applyFont="1" applyFill="1" applyBorder="1"/>
    <xf numFmtId="0" fontId="1" fillId="0" borderId="10" xfId="0" applyFont="1" applyBorder="1"/>
    <xf numFmtId="3" fontId="10" fillId="5" borderId="11" xfId="0" applyNumberFormat="1" applyFont="1" applyFill="1" applyBorder="1" applyAlignment="1">
      <alignment horizontal="center" vertical="center"/>
    </xf>
    <xf numFmtId="0" fontId="3" fillId="0" borderId="8" xfId="0" applyFont="1" applyBorder="1"/>
    <xf numFmtId="165" fontId="3" fillId="2" borderId="13" xfId="0" applyNumberFormat="1" applyFont="1" applyFill="1" applyBorder="1"/>
    <xf numFmtId="9" fontId="3" fillId="2" borderId="14" xfId="0" applyNumberFormat="1" applyFont="1" applyFill="1" applyBorder="1"/>
    <xf numFmtId="9" fontId="11" fillId="2" borderId="1" xfId="0" applyNumberFormat="1" applyFont="1" applyFill="1" applyBorder="1"/>
    <xf numFmtId="3" fontId="4" fillId="2" borderId="1" xfId="0" applyNumberFormat="1" applyFont="1" applyFill="1" applyBorder="1"/>
    <xf numFmtId="0" fontId="2" fillId="2" borderId="15" xfId="0" applyFont="1" applyFill="1" applyBorder="1"/>
    <xf numFmtId="165" fontId="2" fillId="2" borderId="15" xfId="0" applyNumberFormat="1" applyFont="1" applyFill="1" applyBorder="1"/>
    <xf numFmtId="9" fontId="2" fillId="2" borderId="5" xfId="0" applyNumberFormat="1" applyFont="1" applyFill="1" applyBorder="1"/>
    <xf numFmtId="0" fontId="1" fillId="2" borderId="16" xfId="0" applyFont="1" applyFill="1" applyBorder="1" applyAlignment="1">
      <alignment horizontal="left" vertical="center"/>
    </xf>
    <xf numFmtId="9" fontId="3" fillId="2" borderId="6" xfId="0" applyNumberFormat="1" applyFont="1" applyFill="1" applyBorder="1"/>
    <xf numFmtId="0" fontId="12" fillId="2" borderId="6" xfId="0" applyFont="1" applyFill="1" applyBorder="1"/>
    <xf numFmtId="165" fontId="12" fillId="2" borderId="6" xfId="0" applyNumberFormat="1" applyFont="1" applyFill="1" applyBorder="1"/>
    <xf numFmtId="9" fontId="2" fillId="2" borderId="1" xfId="0" applyNumberFormat="1" applyFont="1" applyFill="1" applyBorder="1"/>
    <xf numFmtId="0" fontId="1" fillId="2" borderId="13" xfId="0" applyFont="1" applyFill="1" applyBorder="1" applyAlignment="1">
      <alignment vertical="top"/>
    </xf>
    <xf numFmtId="0" fontId="3" fillId="0" borderId="6" xfId="0" applyFont="1" applyBorder="1"/>
    <xf numFmtId="3" fontId="10" fillId="5" borderId="17" xfId="0" applyNumberFormat="1" applyFont="1" applyFill="1" applyBorder="1" applyAlignment="1">
      <alignment horizontal="center" vertical="center"/>
    </xf>
    <xf numFmtId="165" fontId="2" fillId="2" borderId="1" xfId="0" applyNumberFormat="1" applyFont="1" applyFill="1" applyBorder="1"/>
    <xf numFmtId="0" fontId="1" fillId="2" borderId="18" xfId="0" applyFont="1" applyFill="1" applyBorder="1" applyAlignment="1">
      <alignment vertical="top"/>
    </xf>
    <xf numFmtId="0" fontId="8" fillId="2" borderId="1" xfId="0" applyFont="1" applyFill="1" applyBorder="1"/>
    <xf numFmtId="0" fontId="1" fillId="0" borderId="19" xfId="0" applyFont="1" applyBorder="1"/>
    <xf numFmtId="3" fontId="10" fillId="5" borderId="20" xfId="0" applyNumberFormat="1" applyFont="1" applyFill="1" applyBorder="1" applyAlignment="1">
      <alignment horizontal="center" vertical="center"/>
    </xf>
    <xf numFmtId="2" fontId="4" fillId="2" borderId="1" xfId="0" applyNumberFormat="1" applyFont="1" applyFill="1" applyBorder="1"/>
    <xf numFmtId="166" fontId="8" fillId="2" borderId="1" xfId="0" applyNumberFormat="1" applyFont="1" applyFill="1" applyBorder="1"/>
    <xf numFmtId="0" fontId="13" fillId="6" borderId="21" xfId="0" applyFont="1" applyFill="1" applyBorder="1"/>
    <xf numFmtId="0" fontId="13" fillId="6" borderId="22" xfId="0" applyFont="1" applyFill="1" applyBorder="1"/>
    <xf numFmtId="3" fontId="10" fillId="5" borderId="23" xfId="0" applyNumberFormat="1" applyFont="1" applyFill="1" applyBorder="1" applyAlignment="1">
      <alignment horizontal="center" vertical="center"/>
    </xf>
    <xf numFmtId="0" fontId="2" fillId="7" borderId="6" xfId="0" applyFont="1" applyFill="1" applyBorder="1"/>
    <xf numFmtId="165" fontId="3" fillId="7" borderId="6" xfId="0" applyNumberFormat="1" applyFont="1" applyFill="1" applyBorder="1"/>
    <xf numFmtId="0" fontId="1" fillId="2" borderId="24" xfId="0" applyFont="1" applyFill="1" applyBorder="1" applyAlignment="1">
      <alignment vertical="top"/>
    </xf>
    <xf numFmtId="0" fontId="4" fillId="2" borderId="6" xfId="0" applyFont="1" applyFill="1" applyBorder="1"/>
    <xf numFmtId="165" fontId="2" fillId="2" borderId="6" xfId="0" applyNumberFormat="1" applyFont="1" applyFill="1" applyBorder="1"/>
    <xf numFmtId="0" fontId="1" fillId="2" borderId="1" xfId="0" applyFont="1" applyFill="1" applyBorder="1" applyAlignment="1">
      <alignment vertical="top"/>
    </xf>
    <xf numFmtId="3" fontId="10" fillId="5" borderId="25" xfId="0" applyNumberFormat="1" applyFont="1" applyFill="1" applyBorder="1" applyAlignment="1">
      <alignment horizontal="center" vertical="center"/>
    </xf>
    <xf numFmtId="0" fontId="14" fillId="2" borderId="1" xfId="0" applyFont="1" applyFill="1" applyBorder="1"/>
    <xf numFmtId="9" fontId="3" fillId="2" borderId="1" xfId="0" applyNumberFormat="1" applyFont="1" applyFill="1" applyBorder="1"/>
    <xf numFmtId="0" fontId="13" fillId="6" borderId="21" xfId="0" applyFont="1" applyFill="1" applyBorder="1" applyAlignment="1">
      <alignment horizontal="left"/>
    </xf>
    <xf numFmtId="0" fontId="13" fillId="6" borderId="26" xfId="0" applyFont="1" applyFill="1" applyBorder="1"/>
    <xf numFmtId="9" fontId="4" fillId="2" borderId="1" xfId="0" applyNumberFormat="1" applyFont="1" applyFill="1" applyBorder="1"/>
    <xf numFmtId="167" fontId="10" fillId="5" borderId="20" xfId="0" applyNumberFormat="1" applyFont="1" applyFill="1" applyBorder="1" applyAlignment="1">
      <alignment horizontal="center" vertical="center"/>
    </xf>
    <xf numFmtId="168" fontId="4" fillId="2" borderId="1" xfId="0" applyNumberFormat="1" applyFont="1" applyFill="1" applyBorder="1"/>
    <xf numFmtId="0" fontId="15" fillId="2" borderId="1" xfId="0" applyFont="1" applyFill="1" applyBorder="1"/>
    <xf numFmtId="165" fontId="15" fillId="2" borderId="1" xfId="0" applyNumberFormat="1" applyFont="1" applyFill="1" applyBorder="1"/>
    <xf numFmtId="169" fontId="4" fillId="2" borderId="1" xfId="0" applyNumberFormat="1" applyFont="1" applyFill="1" applyBorder="1"/>
    <xf numFmtId="0" fontId="10" fillId="2" borderId="6" xfId="0" applyFont="1" applyFill="1" applyBorder="1"/>
    <xf numFmtId="166" fontId="4" fillId="2" borderId="1" xfId="0" applyNumberFormat="1" applyFont="1" applyFill="1" applyBorder="1"/>
    <xf numFmtId="0" fontId="4" fillId="2" borderId="6" xfId="0" applyFont="1" applyFill="1" applyBorder="1" applyAlignment="1">
      <alignment vertical="top" wrapText="1"/>
    </xf>
    <xf numFmtId="0" fontId="10" fillId="2" borderId="6" xfId="0" applyFont="1" applyFill="1" applyBorder="1" applyAlignment="1">
      <alignment vertical="top" wrapText="1"/>
    </xf>
    <xf numFmtId="165" fontId="4" fillId="2" borderId="6" xfId="0" applyNumberFormat="1" applyFont="1" applyFill="1" applyBorder="1"/>
    <xf numFmtId="9" fontId="4" fillId="4" borderId="1" xfId="0" applyNumberFormat="1" applyFont="1" applyFill="1" applyBorder="1"/>
    <xf numFmtId="41" fontId="4" fillId="2" borderId="1" xfId="0" applyNumberFormat="1" applyFont="1" applyFill="1" applyBorder="1"/>
    <xf numFmtId="0" fontId="4" fillId="0" borderId="6" xfId="0" applyFont="1" applyBorder="1"/>
    <xf numFmtId="165" fontId="4" fillId="0" borderId="6" xfId="0" applyNumberFormat="1" applyFont="1" applyBorder="1"/>
    <xf numFmtId="0" fontId="4" fillId="0" borderId="0" xfId="0" applyFont="1"/>
    <xf numFmtId="9" fontId="4" fillId="0" borderId="0" xfId="0" applyNumberFormat="1" applyFont="1"/>
    <xf numFmtId="41" fontId="4" fillId="2" borderId="6" xfId="0" applyNumberFormat="1" applyFont="1" applyFill="1" applyBorder="1"/>
    <xf numFmtId="165" fontId="10" fillId="2" borderId="6" xfId="0" applyNumberFormat="1" applyFont="1" applyFill="1" applyBorder="1"/>
    <xf numFmtId="0" fontId="16" fillId="8" borderId="0" xfId="0" applyFont="1" applyFill="1" applyAlignment="1">
      <alignment horizontal="left" vertical="center"/>
    </xf>
    <xf numFmtId="0" fontId="16" fillId="8" borderId="29" xfId="0" applyFont="1" applyFill="1" applyBorder="1" applyAlignment="1">
      <alignment vertical="center"/>
    </xf>
    <xf numFmtId="0" fontId="16" fillId="8" borderId="6" xfId="0" applyFont="1" applyFill="1" applyBorder="1" applyAlignment="1">
      <alignment vertical="center"/>
    </xf>
    <xf numFmtId="0" fontId="16" fillId="8" borderId="6" xfId="0" applyFont="1" applyFill="1" applyBorder="1" applyAlignment="1">
      <alignment horizontal="left" vertical="center"/>
    </xf>
    <xf numFmtId="0" fontId="16" fillId="8" borderId="6" xfId="0" applyFont="1" applyFill="1" applyBorder="1" applyAlignment="1">
      <alignment horizontal="center" vertical="center"/>
    </xf>
    <xf numFmtId="0" fontId="16" fillId="8" borderId="0" xfId="0" applyFont="1" applyFill="1" applyAlignment="1">
      <alignment horizontal="center" vertical="center"/>
    </xf>
    <xf numFmtId="0" fontId="17" fillId="0" borderId="12" xfId="0" applyFont="1" applyBorder="1" applyAlignment="1">
      <alignment vertical="center"/>
    </xf>
    <xf numFmtId="0" fontId="18" fillId="9" borderId="6" xfId="0" applyFont="1" applyFill="1" applyBorder="1" applyAlignment="1">
      <alignment horizontal="center" vertical="center"/>
    </xf>
    <xf numFmtId="0" fontId="18" fillId="2" borderId="6" xfId="0" applyFont="1" applyFill="1" applyBorder="1" applyAlignment="1">
      <alignment vertical="center"/>
    </xf>
    <xf numFmtId="0" fontId="19" fillId="0" borderId="6" xfId="0" applyFont="1" applyBorder="1" applyAlignment="1">
      <alignment vertical="center"/>
    </xf>
    <xf numFmtId="0" fontId="18" fillId="2" borderId="6" xfId="0" applyFont="1" applyFill="1" applyBorder="1" applyAlignment="1">
      <alignment horizontal="center" vertical="center"/>
    </xf>
    <xf numFmtId="0" fontId="17" fillId="0" borderId="6" xfId="0" applyFont="1" applyBorder="1" applyAlignment="1">
      <alignment horizontal="left" vertical="center"/>
    </xf>
    <xf numFmtId="0" fontId="17" fillId="0" borderId="6" xfId="0" applyFont="1" applyBorder="1" applyAlignment="1">
      <alignment horizontal="center" vertical="center"/>
    </xf>
    <xf numFmtId="0" fontId="20" fillId="9" borderId="6" xfId="0" applyFont="1" applyFill="1" applyBorder="1" applyAlignment="1">
      <alignment vertical="center"/>
    </xf>
    <xf numFmtId="0" fontId="17" fillId="0" borderId="0" xfId="0" applyFont="1" applyAlignment="1">
      <alignment horizontal="center" vertical="center"/>
    </xf>
    <xf numFmtId="0" fontId="17" fillId="0" borderId="6" xfId="0" applyFont="1" applyBorder="1" applyAlignment="1">
      <alignment vertical="center"/>
    </xf>
    <xf numFmtId="0" fontId="20" fillId="9" borderId="12" xfId="0" applyFont="1" applyFill="1" applyBorder="1" applyAlignment="1">
      <alignment vertical="center"/>
    </xf>
    <xf numFmtId="0" fontId="18" fillId="0" borderId="6" xfId="0" applyFont="1" applyBorder="1" applyAlignment="1">
      <alignment horizontal="center" vertical="center"/>
    </xf>
    <xf numFmtId="0" fontId="18" fillId="0" borderId="6" xfId="0" applyFont="1" applyBorder="1" applyAlignment="1">
      <alignment horizontal="left" vertical="center"/>
    </xf>
    <xf numFmtId="0" fontId="21" fillId="9" borderId="12" xfId="0" applyFont="1" applyFill="1" applyBorder="1" applyAlignment="1">
      <alignment vertical="center"/>
    </xf>
    <xf numFmtId="0" fontId="18" fillId="0" borderId="0" xfId="0" applyFont="1" applyAlignment="1">
      <alignment horizontal="center" vertical="center"/>
    </xf>
    <xf numFmtId="0" fontId="22" fillId="4" borderId="32" xfId="0" applyFont="1" applyFill="1" applyBorder="1" applyAlignment="1">
      <alignment vertical="center" wrapText="1"/>
    </xf>
    <xf numFmtId="0" fontId="22" fillId="4" borderId="32" xfId="0" applyFont="1" applyFill="1" applyBorder="1" applyAlignment="1">
      <alignment vertical="center"/>
    </xf>
    <xf numFmtId="0" fontId="23" fillId="0" borderId="32" xfId="0" applyFont="1" applyBorder="1" applyAlignment="1">
      <alignment wrapText="1"/>
    </xf>
    <xf numFmtId="0" fontId="23" fillId="9" borderId="32" xfId="0" applyFont="1" applyFill="1" applyBorder="1"/>
    <xf numFmtId="0" fontId="24" fillId="0" borderId="32" xfId="0" applyFont="1" applyBorder="1" applyAlignment="1">
      <alignment wrapText="1"/>
    </xf>
    <xf numFmtId="0" fontId="25" fillId="0" borderId="32" xfId="0" applyFont="1" applyBorder="1" applyAlignment="1">
      <alignment wrapText="1"/>
    </xf>
    <xf numFmtId="0" fontId="26" fillId="9" borderId="32" xfId="0" applyFont="1" applyFill="1" applyBorder="1" applyAlignment="1">
      <alignment wrapText="1"/>
    </xf>
    <xf numFmtId="0" fontId="27" fillId="9" borderId="32" xfId="0" applyFont="1" applyFill="1" applyBorder="1"/>
    <xf numFmtId="0" fontId="23" fillId="9" borderId="0" xfId="0" applyFont="1" applyFill="1"/>
    <xf numFmtId="0" fontId="28" fillId="0" borderId="6" xfId="0" applyFont="1" applyBorder="1" applyAlignment="1">
      <alignment horizontal="center"/>
    </xf>
    <xf numFmtId="9" fontId="28" fillId="0" borderId="9" xfId="0" applyNumberFormat="1" applyFont="1" applyBorder="1" applyAlignment="1">
      <alignment horizontal="center" vertical="center"/>
    </xf>
    <xf numFmtId="3" fontId="28" fillId="0" borderId="9" xfId="0" applyNumberFormat="1" applyFont="1" applyBorder="1" applyAlignment="1">
      <alignment horizontal="center" vertical="center"/>
    </xf>
    <xf numFmtId="0" fontId="28" fillId="0" borderId="9" xfId="0" applyFont="1" applyBorder="1" applyAlignment="1">
      <alignment horizontal="left" vertical="center" wrapText="1"/>
    </xf>
    <xf numFmtId="0" fontId="28" fillId="0" borderId="9" xfId="0" applyFont="1" applyBorder="1" applyAlignment="1">
      <alignment horizontal="left" wrapText="1"/>
    </xf>
    <xf numFmtId="0" fontId="28" fillId="0" borderId="9" xfId="0" applyFont="1" applyBorder="1" applyAlignment="1">
      <alignment horizontal="center"/>
    </xf>
    <xf numFmtId="9" fontId="28" fillId="0" borderId="8" xfId="0" applyNumberFormat="1" applyFont="1" applyBorder="1" applyAlignment="1">
      <alignment horizontal="center"/>
    </xf>
    <xf numFmtId="9" fontId="28" fillId="0" borderId="9" xfId="0" applyNumberFormat="1" applyFont="1" applyBorder="1" applyAlignment="1">
      <alignment horizontal="center"/>
    </xf>
    <xf numFmtId="0" fontId="28" fillId="0" borderId="9" xfId="0" applyFont="1" applyBorder="1" applyAlignment="1">
      <alignment vertical="center" wrapText="1"/>
    </xf>
    <xf numFmtId="9" fontId="28" fillId="0" borderId="12" xfId="0" applyNumberFormat="1" applyFont="1" applyBorder="1" applyAlignment="1">
      <alignment horizontal="center" vertical="center"/>
    </xf>
    <xf numFmtId="3" fontId="28" fillId="0" borderId="12" xfId="0" applyNumberFormat="1" applyFont="1" applyBorder="1" applyAlignment="1">
      <alignment horizontal="center" vertical="center"/>
    </xf>
    <xf numFmtId="0" fontId="28" fillId="0" borderId="12" xfId="0" applyFont="1" applyBorder="1" applyAlignment="1">
      <alignment horizontal="center" vertical="center"/>
    </xf>
    <xf numFmtId="0" fontId="28" fillId="0" borderId="12" xfId="0" applyFont="1" applyBorder="1" applyAlignment="1">
      <alignment horizontal="left" wrapText="1"/>
    </xf>
    <xf numFmtId="0" fontId="28" fillId="0" borderId="12" xfId="0" applyFont="1" applyBorder="1" applyAlignment="1">
      <alignment horizontal="center"/>
    </xf>
    <xf numFmtId="9" fontId="28" fillId="0" borderId="12" xfId="0" applyNumberFormat="1" applyFont="1" applyBorder="1" applyAlignment="1">
      <alignment horizontal="center"/>
    </xf>
    <xf numFmtId="0" fontId="29" fillId="0" borderId="6" xfId="0" applyFont="1" applyBorder="1" applyAlignment="1">
      <alignment vertical="center" wrapText="1"/>
    </xf>
    <xf numFmtId="9" fontId="29" fillId="0" borderId="6" xfId="0" applyNumberFormat="1" applyFont="1" applyBorder="1" applyAlignment="1">
      <alignment horizontal="center" vertical="center"/>
    </xf>
    <xf numFmtId="3" fontId="29" fillId="0" borderId="6" xfId="0" applyNumberFormat="1" applyFont="1" applyBorder="1" applyAlignment="1">
      <alignment horizontal="center" vertical="center"/>
    </xf>
    <xf numFmtId="0" fontId="23" fillId="0" borderId="0" xfId="0" applyFont="1" applyAlignment="1">
      <alignment horizontal="left"/>
    </xf>
    <xf numFmtId="0" fontId="30" fillId="2" borderId="1" xfId="0" applyFont="1" applyFill="1" applyBorder="1" applyAlignment="1">
      <alignment horizontal="center"/>
    </xf>
    <xf numFmtId="0" fontId="30" fillId="2" borderId="36" xfId="0" applyFont="1" applyFill="1" applyBorder="1" applyAlignment="1">
      <alignment horizontal="center"/>
    </xf>
    <xf numFmtId="0" fontId="30" fillId="9" borderId="36" xfId="0" applyFont="1" applyFill="1" applyBorder="1" applyAlignment="1">
      <alignment horizontal="center"/>
    </xf>
    <xf numFmtId="0" fontId="30" fillId="2" borderId="1" xfId="0" applyFont="1" applyFill="1" applyBorder="1"/>
    <xf numFmtId="0" fontId="30" fillId="2" borderId="0" xfId="0" applyFont="1" applyFill="1"/>
    <xf numFmtId="0" fontId="33" fillId="2" borderId="0" xfId="0" applyFont="1" applyFill="1"/>
    <xf numFmtId="0" fontId="33" fillId="2" borderId="36" xfId="0" applyFont="1" applyFill="1" applyBorder="1"/>
    <xf numFmtId="0" fontId="30" fillId="2" borderId="37" xfId="0" applyFont="1" applyFill="1" applyBorder="1" applyAlignment="1">
      <alignment horizontal="center"/>
    </xf>
    <xf numFmtId="0" fontId="33" fillId="4" borderId="32" xfId="0" applyFont="1" applyFill="1" applyBorder="1" applyAlignment="1">
      <alignment horizontal="center"/>
    </xf>
    <xf numFmtId="0" fontId="30" fillId="2" borderId="41" xfId="0" applyFont="1" applyFill="1" applyBorder="1"/>
    <xf numFmtId="0" fontId="31" fillId="2" borderId="32" xfId="0" applyFont="1" applyFill="1" applyBorder="1" applyAlignment="1">
      <alignment horizontal="center"/>
    </xf>
    <xf numFmtId="0" fontId="31" fillId="9" borderId="32" xfId="0" applyFont="1" applyFill="1" applyBorder="1" applyAlignment="1">
      <alignment horizontal="center"/>
    </xf>
    <xf numFmtId="9" fontId="34" fillId="2" borderId="32" xfId="0" applyNumberFormat="1" applyFont="1" applyFill="1" applyBorder="1" applyAlignment="1">
      <alignment horizontal="center"/>
    </xf>
    <xf numFmtId="0" fontId="34" fillId="2" borderId="32" xfId="0" applyFont="1" applyFill="1" applyBorder="1" applyAlignment="1">
      <alignment horizontal="center"/>
    </xf>
    <xf numFmtId="3" fontId="30" fillId="2" borderId="32" xfId="0" applyNumberFormat="1" applyFont="1" applyFill="1" applyBorder="1" applyAlignment="1">
      <alignment horizontal="center"/>
    </xf>
    <xf numFmtId="167" fontId="30" fillId="2" borderId="32" xfId="0" applyNumberFormat="1" applyFont="1" applyFill="1" applyBorder="1" applyAlignment="1">
      <alignment horizontal="center"/>
    </xf>
    <xf numFmtId="9" fontId="30" fillId="2" borderId="39" xfId="0" applyNumberFormat="1" applyFont="1" applyFill="1" applyBorder="1" applyAlignment="1">
      <alignment horizontal="center"/>
    </xf>
    <xf numFmtId="0" fontId="30" fillId="2" borderId="32" xfId="0" applyFont="1" applyFill="1" applyBorder="1" applyAlignment="1">
      <alignment horizontal="center"/>
    </xf>
    <xf numFmtId="2" fontId="30" fillId="9" borderId="32" xfId="0" applyNumberFormat="1" applyFont="1" applyFill="1" applyBorder="1" applyAlignment="1">
      <alignment horizontal="center"/>
    </xf>
    <xf numFmtId="4" fontId="30" fillId="9" borderId="32" xfId="0" applyNumberFormat="1" applyFont="1" applyFill="1" applyBorder="1" applyAlignment="1">
      <alignment horizontal="center"/>
    </xf>
    <xf numFmtId="9" fontId="30" fillId="9" borderId="39" xfId="0" applyNumberFormat="1" applyFont="1" applyFill="1" applyBorder="1" applyAlignment="1">
      <alignment horizontal="center"/>
    </xf>
    <xf numFmtId="0" fontId="30" fillId="9" borderId="32" xfId="0" applyFont="1" applyFill="1" applyBorder="1" applyAlignment="1">
      <alignment horizontal="center"/>
    </xf>
    <xf numFmtId="0" fontId="30" fillId="2" borderId="42" xfId="0" applyFont="1" applyFill="1" applyBorder="1" applyAlignment="1">
      <alignment horizontal="center"/>
    </xf>
    <xf numFmtId="0" fontId="30" fillId="9" borderId="42" xfId="0" applyFont="1" applyFill="1" applyBorder="1" applyAlignment="1">
      <alignment horizontal="center"/>
    </xf>
    <xf numFmtId="0" fontId="31" fillId="2" borderId="38" xfId="0" applyFont="1" applyFill="1" applyBorder="1"/>
    <xf numFmtId="0" fontId="31" fillId="2" borderId="39" xfId="0" applyFont="1" applyFill="1" applyBorder="1" applyAlignment="1">
      <alignment horizontal="center"/>
    </xf>
    <xf numFmtId="0" fontId="30" fillId="2" borderId="39" xfId="0" applyFont="1" applyFill="1" applyBorder="1" applyAlignment="1">
      <alignment horizontal="center"/>
    </xf>
    <xf numFmtId="0" fontId="23" fillId="0" borderId="39" xfId="0" applyFont="1" applyBorder="1" applyAlignment="1">
      <alignment horizontal="center"/>
    </xf>
    <xf numFmtId="0" fontId="23" fillId="0" borderId="40" xfId="0" applyFont="1" applyBorder="1" applyAlignment="1">
      <alignment horizontal="center"/>
    </xf>
    <xf numFmtId="3" fontId="30" fillId="9" borderId="39" xfId="0" applyNumberFormat="1" applyFont="1" applyFill="1" applyBorder="1" applyAlignment="1">
      <alignment horizontal="center"/>
    </xf>
    <xf numFmtId="3" fontId="30" fillId="9" borderId="43" xfId="0" applyNumberFormat="1" applyFont="1" applyFill="1" applyBorder="1" applyAlignment="1">
      <alignment horizontal="center"/>
    </xf>
    <xf numFmtId="0" fontId="30" fillId="9" borderId="44" xfId="0" applyFont="1" applyFill="1" applyBorder="1" applyAlignment="1">
      <alignment horizontal="center"/>
    </xf>
    <xf numFmtId="0" fontId="30" fillId="9" borderId="1" xfId="0" applyFont="1" applyFill="1" applyBorder="1" applyAlignment="1">
      <alignment horizontal="center"/>
    </xf>
    <xf numFmtId="0" fontId="33" fillId="9" borderId="45" xfId="0" applyFont="1" applyFill="1" applyBorder="1"/>
    <xf numFmtId="0" fontId="35" fillId="9" borderId="45" xfId="0" applyFont="1" applyFill="1" applyBorder="1" applyAlignment="1">
      <alignment horizontal="center"/>
    </xf>
    <xf numFmtId="0" fontId="36" fillId="9" borderId="45" xfId="0" applyFont="1" applyFill="1" applyBorder="1" applyAlignment="1">
      <alignment horizontal="center"/>
    </xf>
    <xf numFmtId="0" fontId="33" fillId="9" borderId="45" xfId="0" applyFont="1" applyFill="1" applyBorder="1" applyAlignment="1">
      <alignment horizontal="center"/>
    </xf>
    <xf numFmtId="0" fontId="33" fillId="9" borderId="46" xfId="0" applyFont="1" applyFill="1" applyBorder="1" applyAlignment="1">
      <alignment horizontal="center"/>
    </xf>
    <xf numFmtId="0" fontId="36" fillId="9" borderId="46" xfId="0" applyFont="1" applyFill="1" applyBorder="1" applyAlignment="1">
      <alignment horizontal="center"/>
    </xf>
    <xf numFmtId="0" fontId="18" fillId="2" borderId="33" xfId="0" applyFont="1" applyFill="1" applyBorder="1"/>
    <xf numFmtId="9" fontId="30" fillId="2" borderId="0" xfId="0" applyNumberFormat="1" applyFont="1" applyFill="1" applyAlignment="1">
      <alignment horizontal="center"/>
    </xf>
    <xf numFmtId="3" fontId="30" fillId="2" borderId="0" xfId="0" applyNumberFormat="1" applyFont="1" applyFill="1" applyAlignment="1">
      <alignment horizontal="center"/>
    </xf>
    <xf numFmtId="4" fontId="30" fillId="9" borderId="0" xfId="0" applyNumberFormat="1" applyFont="1" applyFill="1" applyAlignment="1">
      <alignment horizontal="center"/>
    </xf>
    <xf numFmtId="9" fontId="30" fillId="9" borderId="0" xfId="0" applyNumberFormat="1" applyFont="1" applyFill="1" applyAlignment="1">
      <alignment horizontal="center"/>
    </xf>
    <xf numFmtId="0" fontId="30" fillId="9" borderId="47" xfId="0" applyFont="1" applyFill="1" applyBorder="1" applyAlignment="1">
      <alignment horizontal="center"/>
    </xf>
    <xf numFmtId="0" fontId="18" fillId="2" borderId="34" xfId="0" applyFont="1" applyFill="1" applyBorder="1"/>
    <xf numFmtId="0" fontId="18" fillId="2" borderId="35" xfId="0" applyFont="1" applyFill="1" applyBorder="1"/>
    <xf numFmtId="9" fontId="30" fillId="2" borderId="45" xfId="0" applyNumberFormat="1" applyFont="1" applyFill="1" applyBorder="1" applyAlignment="1">
      <alignment horizontal="center"/>
    </xf>
    <xf numFmtId="3" fontId="30" fillId="2" borderId="45" xfId="0" applyNumberFormat="1" applyFont="1" applyFill="1" applyBorder="1" applyAlignment="1">
      <alignment horizontal="center"/>
    </xf>
    <xf numFmtId="0" fontId="30" fillId="2" borderId="48" xfId="0" applyFont="1" applyFill="1" applyBorder="1" applyAlignment="1">
      <alignment horizontal="center"/>
    </xf>
    <xf numFmtId="4" fontId="30" fillId="9" borderId="45" xfId="0" applyNumberFormat="1" applyFont="1" applyFill="1" applyBorder="1" applyAlignment="1">
      <alignment horizontal="center"/>
    </xf>
    <xf numFmtId="0" fontId="30" fillId="9" borderId="49" xfId="0" applyFont="1" applyFill="1" applyBorder="1" applyAlignment="1">
      <alignment horizontal="center"/>
    </xf>
    <xf numFmtId="0" fontId="30" fillId="2" borderId="32" xfId="0" applyFont="1" applyFill="1" applyBorder="1"/>
    <xf numFmtId="3" fontId="30" fillId="2" borderId="39" xfId="0" applyNumberFormat="1" applyFont="1" applyFill="1" applyBorder="1" applyAlignment="1">
      <alignment horizontal="center"/>
    </xf>
    <xf numFmtId="0" fontId="30" fillId="2" borderId="50" xfId="0" applyFont="1" applyFill="1" applyBorder="1" applyAlignment="1">
      <alignment horizontal="center"/>
    </xf>
    <xf numFmtId="4" fontId="30" fillId="9" borderId="39" xfId="0" applyNumberFormat="1" applyFont="1" applyFill="1" applyBorder="1" applyAlignment="1">
      <alignment horizontal="center"/>
    </xf>
    <xf numFmtId="0" fontId="30" fillId="2" borderId="51" xfId="0" applyFont="1" applyFill="1" applyBorder="1" applyAlignment="1">
      <alignment horizontal="center"/>
    </xf>
    <xf numFmtId="0" fontId="33" fillId="10" borderId="36" xfId="0" applyFont="1" applyFill="1" applyBorder="1"/>
    <xf numFmtId="0" fontId="31" fillId="2" borderId="6" xfId="0" applyFont="1" applyFill="1" applyBorder="1"/>
    <xf numFmtId="3" fontId="30" fillId="2" borderId="30" xfId="0" applyNumberFormat="1" applyFont="1" applyFill="1" applyBorder="1" applyAlignment="1">
      <alignment horizontal="center"/>
    </xf>
    <xf numFmtId="0" fontId="19" fillId="0" borderId="29" xfId="0" applyFont="1" applyBorder="1" applyAlignment="1">
      <alignment horizontal="center"/>
    </xf>
    <xf numFmtId="0" fontId="30" fillId="2" borderId="28" xfId="0" applyFont="1" applyFill="1" applyBorder="1" applyAlignment="1">
      <alignment horizontal="center"/>
    </xf>
    <xf numFmtId="0" fontId="30" fillId="2" borderId="29" xfId="0" applyFont="1" applyFill="1" applyBorder="1" applyAlignment="1">
      <alignment horizontal="center"/>
    </xf>
    <xf numFmtId="0" fontId="31" fillId="11" borderId="32" xfId="0" applyFont="1" applyFill="1" applyBorder="1" applyAlignment="1">
      <alignment horizontal="center"/>
    </xf>
    <xf numFmtId="0" fontId="31" fillId="11" borderId="58" xfId="0" applyFont="1" applyFill="1" applyBorder="1" applyAlignment="1">
      <alignment horizontal="center"/>
    </xf>
    <xf numFmtId="0" fontId="31" fillId="11" borderId="59" xfId="0" applyFont="1" applyFill="1" applyBorder="1" applyAlignment="1">
      <alignment horizontal="center"/>
    </xf>
    <xf numFmtId="0" fontId="31" fillId="11" borderId="39" xfId="0" applyFont="1" applyFill="1" applyBorder="1" applyAlignment="1">
      <alignment horizontal="center"/>
    </xf>
    <xf numFmtId="0" fontId="31" fillId="11" borderId="60" xfId="0" applyFont="1" applyFill="1" applyBorder="1" applyAlignment="1">
      <alignment horizontal="center"/>
    </xf>
    <xf numFmtId="0" fontId="31" fillId="9" borderId="40" xfId="0" applyFont="1" applyFill="1" applyBorder="1" applyAlignment="1">
      <alignment horizontal="center"/>
    </xf>
    <xf numFmtId="0" fontId="31" fillId="12" borderId="32" xfId="0" applyFont="1" applyFill="1" applyBorder="1" applyAlignment="1">
      <alignment horizontal="center"/>
    </xf>
    <xf numFmtId="0" fontId="18" fillId="2" borderId="9" xfId="0" applyFont="1" applyFill="1" applyBorder="1"/>
    <xf numFmtId="10" fontId="30" fillId="2" borderId="61" xfId="0" applyNumberFormat="1" applyFont="1" applyFill="1" applyBorder="1" applyAlignment="1">
      <alignment horizontal="center"/>
    </xf>
    <xf numFmtId="2" fontId="19" fillId="0" borderId="62" xfId="0" applyNumberFormat="1" applyFont="1" applyBorder="1" applyAlignment="1">
      <alignment horizontal="center"/>
    </xf>
    <xf numFmtId="2" fontId="30" fillId="2" borderId="62" xfId="0" applyNumberFormat="1" applyFont="1" applyFill="1" applyBorder="1" applyAlignment="1">
      <alignment horizontal="center"/>
    </xf>
    <xf numFmtId="3" fontId="30" fillId="2" borderId="62" xfId="0" applyNumberFormat="1" applyFont="1" applyFill="1" applyBorder="1" applyAlignment="1">
      <alignment horizontal="center"/>
    </xf>
    <xf numFmtId="0" fontId="37" fillId="2" borderId="63" xfId="0" applyFont="1" applyFill="1" applyBorder="1" applyAlignment="1">
      <alignment vertical="center" wrapText="1"/>
    </xf>
    <xf numFmtId="9" fontId="30" fillId="2" borderId="64" xfId="0" applyNumberFormat="1" applyFont="1" applyFill="1" applyBorder="1" applyAlignment="1">
      <alignment horizontal="center" vertical="center"/>
    </xf>
    <xf numFmtId="9" fontId="31" fillId="2" borderId="64" xfId="0" applyNumberFormat="1" applyFont="1" applyFill="1" applyBorder="1" applyAlignment="1">
      <alignment horizontal="center" vertical="center"/>
    </xf>
    <xf numFmtId="3" fontId="30" fillId="2" borderId="65" xfId="0" applyNumberFormat="1" applyFont="1" applyFill="1" applyBorder="1" applyAlignment="1">
      <alignment horizontal="center" vertical="center"/>
    </xf>
    <xf numFmtId="3" fontId="30" fillId="2" borderId="64" xfId="0" applyNumberFormat="1" applyFont="1" applyFill="1" applyBorder="1" applyAlignment="1">
      <alignment horizontal="center" vertical="center"/>
    </xf>
    <xf numFmtId="9" fontId="31" fillId="12" borderId="64" xfId="0" applyNumberFormat="1" applyFont="1" applyFill="1" applyBorder="1" applyAlignment="1">
      <alignment horizontal="center" vertical="center"/>
    </xf>
    <xf numFmtId="0" fontId="30" fillId="12" borderId="66" xfId="0" applyFont="1" applyFill="1" applyBorder="1" applyAlignment="1">
      <alignment horizontal="left" vertical="center" wrapText="1"/>
    </xf>
    <xf numFmtId="3" fontId="30" fillId="9" borderId="67" xfId="0" applyNumberFormat="1" applyFont="1" applyFill="1" applyBorder="1" applyAlignment="1">
      <alignment horizontal="center" vertical="center"/>
    </xf>
    <xf numFmtId="3" fontId="30" fillId="9" borderId="68" xfId="0" applyNumberFormat="1" applyFont="1" applyFill="1" applyBorder="1" applyAlignment="1">
      <alignment horizontal="center" vertical="center"/>
    </xf>
    <xf numFmtId="2" fontId="30" fillId="9" borderId="69" xfId="0" applyNumberFormat="1" applyFont="1" applyFill="1" applyBorder="1" applyAlignment="1">
      <alignment horizontal="center" vertical="center"/>
    </xf>
    <xf numFmtId="2" fontId="19" fillId="9" borderId="64" xfId="0" applyNumberFormat="1" applyFont="1" applyFill="1" applyBorder="1" applyAlignment="1">
      <alignment horizontal="center" vertical="center"/>
    </xf>
    <xf numFmtId="2" fontId="31" fillId="9" borderId="64" xfId="0" applyNumberFormat="1" applyFont="1" applyFill="1" applyBorder="1" applyAlignment="1">
      <alignment horizontal="center" vertical="center"/>
    </xf>
    <xf numFmtId="0" fontId="30" fillId="12" borderId="70" xfId="0" applyFont="1" applyFill="1" applyBorder="1" applyAlignment="1">
      <alignment horizontal="left" vertical="center" wrapText="1"/>
    </xf>
    <xf numFmtId="0" fontId="30" fillId="2" borderId="41" xfId="0" applyFont="1" applyFill="1" applyBorder="1" applyAlignment="1">
      <alignment vertical="center"/>
    </xf>
    <xf numFmtId="0" fontId="30" fillId="2" borderId="1" xfId="0" applyFont="1" applyFill="1" applyBorder="1" applyAlignment="1">
      <alignment vertical="center"/>
    </xf>
    <xf numFmtId="0" fontId="30" fillId="2" borderId="0" xfId="0" applyFont="1" applyFill="1" applyAlignment="1">
      <alignment vertical="center"/>
    </xf>
    <xf numFmtId="0" fontId="18" fillId="2" borderId="9" xfId="0" applyFont="1" applyFill="1" applyBorder="1" applyAlignment="1">
      <alignment vertical="center"/>
    </xf>
    <xf numFmtId="10" fontId="30" fillId="2" borderId="61" xfId="0" applyNumberFormat="1" applyFont="1" applyFill="1" applyBorder="1" applyAlignment="1">
      <alignment horizontal="center" vertical="center"/>
    </xf>
    <xf numFmtId="2" fontId="19" fillId="0" borderId="62" xfId="0" applyNumberFormat="1" applyFont="1" applyBorder="1" applyAlignment="1">
      <alignment horizontal="center" vertical="center"/>
    </xf>
    <xf numFmtId="2" fontId="30" fillId="2" borderId="62" xfId="0" applyNumberFormat="1" applyFont="1" applyFill="1" applyBorder="1" applyAlignment="1">
      <alignment horizontal="center" vertical="center"/>
    </xf>
    <xf numFmtId="3" fontId="30" fillId="2" borderId="0" xfId="0" applyNumberFormat="1" applyFont="1" applyFill="1" applyAlignment="1">
      <alignment horizontal="center" vertical="center"/>
    </xf>
    <xf numFmtId="3" fontId="30" fillId="2" borderId="62" xfId="0" applyNumberFormat="1" applyFont="1" applyFill="1" applyBorder="1" applyAlignment="1">
      <alignment horizontal="center" vertical="center"/>
    </xf>
    <xf numFmtId="0" fontId="37" fillId="2" borderId="71" xfId="0" applyFont="1" applyFill="1" applyBorder="1" applyAlignment="1">
      <alignment vertical="center" wrapText="1"/>
    </xf>
    <xf numFmtId="3" fontId="30" fillId="2" borderId="72" xfId="0" applyNumberFormat="1" applyFont="1" applyFill="1" applyBorder="1" applyAlignment="1">
      <alignment horizontal="center" vertical="center"/>
    </xf>
    <xf numFmtId="0" fontId="30" fillId="12" borderId="73" xfId="0" applyFont="1" applyFill="1" applyBorder="1" applyAlignment="1">
      <alignment horizontal="left" vertical="center" wrapText="1"/>
    </xf>
    <xf numFmtId="3" fontId="30" fillId="9" borderId="64" xfId="0" applyNumberFormat="1" applyFont="1" applyFill="1" applyBorder="1" applyAlignment="1">
      <alignment horizontal="center" vertical="center"/>
    </xf>
    <xf numFmtId="3" fontId="30" fillId="9" borderId="74" xfId="0" applyNumberFormat="1" applyFont="1" applyFill="1" applyBorder="1" applyAlignment="1">
      <alignment horizontal="center" vertical="center"/>
    </xf>
    <xf numFmtId="2" fontId="30" fillId="9" borderId="75" xfId="0" applyNumberFormat="1" applyFont="1" applyFill="1" applyBorder="1" applyAlignment="1">
      <alignment horizontal="center" vertical="center"/>
    </xf>
    <xf numFmtId="9" fontId="31" fillId="13" borderId="64" xfId="0" applyNumberFormat="1" applyFont="1" applyFill="1" applyBorder="1" applyAlignment="1">
      <alignment horizontal="center" vertical="center"/>
    </xf>
    <xf numFmtId="0" fontId="30" fillId="13" borderId="76" xfId="0" applyFont="1" applyFill="1" applyBorder="1" applyAlignment="1">
      <alignment horizontal="left" vertical="center" wrapText="1"/>
    </xf>
    <xf numFmtId="0" fontId="30" fillId="12" borderId="76" xfId="0" applyFont="1" applyFill="1" applyBorder="1" applyAlignment="1">
      <alignment horizontal="left" vertical="center" wrapText="1"/>
    </xf>
    <xf numFmtId="3" fontId="30" fillId="9" borderId="72" xfId="0" applyNumberFormat="1" applyFont="1" applyFill="1" applyBorder="1" applyAlignment="1">
      <alignment horizontal="center" vertical="center"/>
    </xf>
    <xf numFmtId="0" fontId="30" fillId="2" borderId="62" xfId="0" applyFont="1" applyFill="1" applyBorder="1" applyAlignment="1">
      <alignment horizontal="center" vertical="center"/>
    </xf>
    <xf numFmtId="0" fontId="30" fillId="2" borderId="72" xfId="0" applyFont="1" applyFill="1" applyBorder="1" applyAlignment="1">
      <alignment horizontal="center" vertical="center"/>
    </xf>
    <xf numFmtId="0" fontId="37" fillId="2" borderId="34" xfId="0" applyFont="1" applyFill="1" applyBorder="1" applyAlignment="1">
      <alignment vertical="center" wrapText="1"/>
    </xf>
    <xf numFmtId="9" fontId="31" fillId="2" borderId="0" xfId="0" applyNumberFormat="1" applyFont="1" applyFill="1" applyAlignment="1">
      <alignment horizontal="center"/>
    </xf>
    <xf numFmtId="3" fontId="30" fillId="2" borderId="77" xfId="0" applyNumberFormat="1" applyFont="1" applyFill="1" applyBorder="1" applyAlignment="1">
      <alignment horizontal="center"/>
    </xf>
    <xf numFmtId="9" fontId="31" fillId="12" borderId="0" xfId="0" applyNumberFormat="1" applyFont="1" applyFill="1" applyAlignment="1">
      <alignment horizontal="center"/>
    </xf>
    <xf numFmtId="0" fontId="30" fillId="12" borderId="78" xfId="0" applyFont="1" applyFill="1" applyBorder="1" applyAlignment="1">
      <alignment horizontal="left"/>
    </xf>
    <xf numFmtId="2" fontId="30" fillId="9" borderId="79" xfId="0" applyNumberFormat="1" applyFont="1" applyFill="1" applyBorder="1" applyAlignment="1">
      <alignment horizontal="center"/>
    </xf>
    <xf numFmtId="2" fontId="19" fillId="9" borderId="0" xfId="0" applyNumberFormat="1" applyFont="1" applyFill="1" applyAlignment="1">
      <alignment horizontal="center"/>
    </xf>
    <xf numFmtId="2" fontId="31" fillId="9" borderId="0" xfId="0" applyNumberFormat="1" applyFont="1" applyFill="1" applyAlignment="1">
      <alignment horizontal="center"/>
    </xf>
    <xf numFmtId="0" fontId="30" fillId="2" borderId="80" xfId="0" applyFont="1" applyFill="1" applyBorder="1" applyAlignment="1">
      <alignment horizontal="left"/>
    </xf>
    <xf numFmtId="0" fontId="30" fillId="2" borderId="6" xfId="0" applyFont="1" applyFill="1" applyBorder="1"/>
    <xf numFmtId="10" fontId="30" fillId="2" borderId="30" xfId="0" applyNumberFormat="1" applyFont="1" applyFill="1" applyBorder="1" applyAlignment="1">
      <alignment horizontal="center"/>
    </xf>
    <xf numFmtId="2" fontId="19" fillId="0" borderId="29" xfId="0" applyNumberFormat="1" applyFont="1" applyBorder="1" applyAlignment="1">
      <alignment horizontal="center"/>
    </xf>
    <xf numFmtId="2" fontId="30" fillId="2" borderId="29" xfId="0" applyNumberFormat="1" applyFont="1" applyFill="1" applyBorder="1" applyAlignment="1">
      <alignment horizontal="center"/>
    </xf>
    <xf numFmtId="3" fontId="30" fillId="2" borderId="28" xfId="0" applyNumberFormat="1" applyFont="1" applyFill="1" applyBorder="1" applyAlignment="1">
      <alignment horizontal="center"/>
    </xf>
    <xf numFmtId="3" fontId="30" fillId="2" borderId="29" xfId="0" applyNumberFormat="1" applyFont="1" applyFill="1" applyBorder="1" applyAlignment="1">
      <alignment horizontal="center"/>
    </xf>
    <xf numFmtId="0" fontId="31" fillId="2" borderId="81" xfId="0" applyFont="1" applyFill="1" applyBorder="1" applyAlignment="1">
      <alignment wrapText="1"/>
    </xf>
    <xf numFmtId="9" fontId="30" fillId="2" borderId="28" xfId="0" applyNumberFormat="1" applyFont="1" applyFill="1" applyBorder="1" applyAlignment="1">
      <alignment horizontal="center"/>
    </xf>
    <xf numFmtId="9" fontId="31" fillId="2" borderId="28" xfId="0" applyNumberFormat="1" applyFont="1" applyFill="1" applyBorder="1" applyAlignment="1">
      <alignment horizontal="center"/>
    </xf>
    <xf numFmtId="3" fontId="31" fillId="2" borderId="82" xfId="0" applyNumberFormat="1" applyFont="1" applyFill="1" applyBorder="1" applyAlignment="1">
      <alignment horizontal="center"/>
    </xf>
    <xf numFmtId="3" fontId="31" fillId="2" borderId="28" xfId="0" applyNumberFormat="1" applyFont="1" applyFill="1" applyBorder="1" applyAlignment="1">
      <alignment horizontal="center"/>
    </xf>
    <xf numFmtId="0" fontId="30" fillId="2" borderId="83" xfId="0" applyFont="1" applyFill="1" applyBorder="1" applyAlignment="1">
      <alignment horizontal="center"/>
    </xf>
    <xf numFmtId="2" fontId="30" fillId="9" borderId="84" xfId="0" applyNumberFormat="1" applyFont="1" applyFill="1" applyBorder="1" applyAlignment="1">
      <alignment horizontal="center"/>
    </xf>
    <xf numFmtId="2" fontId="19" fillId="9" borderId="28" xfId="0" applyNumberFormat="1" applyFont="1" applyFill="1" applyBorder="1" applyAlignment="1">
      <alignment horizontal="center"/>
    </xf>
    <xf numFmtId="2" fontId="38" fillId="9" borderId="28" xfId="0" applyNumberFormat="1" applyFont="1" applyFill="1" applyBorder="1" applyAlignment="1">
      <alignment horizontal="center"/>
    </xf>
    <xf numFmtId="0" fontId="30" fillId="2" borderId="85" xfId="0" applyFont="1" applyFill="1" applyBorder="1" applyAlignment="1">
      <alignment horizontal="center"/>
    </xf>
    <xf numFmtId="0" fontId="31" fillId="2" borderId="79" xfId="0" applyFont="1" applyFill="1" applyBorder="1"/>
    <xf numFmtId="0" fontId="31" fillId="2" borderId="51" xfId="0" applyFont="1" applyFill="1" applyBorder="1" applyAlignment="1">
      <alignment horizontal="center"/>
    </xf>
    <xf numFmtId="0" fontId="30" fillId="2" borderId="86" xfId="0" applyFont="1" applyFill="1" applyBorder="1" applyAlignment="1">
      <alignment horizontal="center"/>
    </xf>
    <xf numFmtId="9" fontId="31" fillId="9" borderId="87" xfId="0" applyNumberFormat="1" applyFont="1" applyFill="1" applyBorder="1" applyAlignment="1">
      <alignment horizontal="center"/>
    </xf>
    <xf numFmtId="9" fontId="31" fillId="9" borderId="88" xfId="0" applyNumberFormat="1" applyFont="1" applyFill="1" applyBorder="1" applyAlignment="1">
      <alignment horizontal="center"/>
    </xf>
    <xf numFmtId="9" fontId="31" fillId="9" borderId="85" xfId="0" applyNumberFormat="1" applyFont="1" applyFill="1" applyBorder="1" applyAlignment="1">
      <alignment horizontal="center"/>
    </xf>
    <xf numFmtId="0" fontId="30" fillId="9" borderId="89" xfId="0" applyFont="1" applyFill="1" applyBorder="1" applyAlignment="1">
      <alignment horizontal="center"/>
    </xf>
    <xf numFmtId="0" fontId="33" fillId="9" borderId="36" xfId="0" applyFont="1" applyFill="1" applyBorder="1"/>
    <xf numFmtId="0" fontId="33" fillId="9" borderId="90" xfId="0" applyFont="1" applyFill="1" applyBorder="1" applyAlignment="1">
      <alignment horizontal="center"/>
    </xf>
    <xf numFmtId="0" fontId="31" fillId="2" borderId="58" xfId="0" applyFont="1" applyFill="1" applyBorder="1" applyAlignment="1">
      <alignment horizontal="center"/>
    </xf>
    <xf numFmtId="0" fontId="31" fillId="2" borderId="59" xfId="0" applyFont="1" applyFill="1" applyBorder="1" applyAlignment="1">
      <alignment horizontal="center"/>
    </xf>
    <xf numFmtId="0" fontId="31" fillId="9" borderId="39" xfId="0" applyFont="1" applyFill="1" applyBorder="1" applyAlignment="1">
      <alignment horizontal="center"/>
    </xf>
    <xf numFmtId="0" fontId="18" fillId="2" borderId="34" xfId="0" applyFont="1" applyFill="1" applyBorder="1" applyAlignment="1">
      <alignment vertical="center"/>
    </xf>
    <xf numFmtId="9" fontId="23" fillId="0" borderId="91" xfId="0" applyNumberFormat="1" applyFont="1" applyBorder="1" applyAlignment="1">
      <alignment horizontal="center" vertical="center"/>
    </xf>
    <xf numFmtId="9" fontId="30" fillId="2" borderId="0" xfId="0" applyNumberFormat="1" applyFont="1" applyFill="1" applyAlignment="1">
      <alignment horizontal="center" vertical="center"/>
    </xf>
    <xf numFmtId="3" fontId="30" fillId="2" borderId="92" xfId="0" applyNumberFormat="1" applyFont="1" applyFill="1" applyBorder="1" applyAlignment="1">
      <alignment horizontal="center" vertical="center"/>
    </xf>
    <xf numFmtId="167" fontId="30" fillId="2" borderId="0" xfId="0" applyNumberFormat="1" applyFont="1" applyFill="1" applyAlignment="1">
      <alignment horizontal="center" vertical="center"/>
    </xf>
    <xf numFmtId="0" fontId="30" fillId="2" borderId="93" xfId="0" applyFont="1" applyFill="1" applyBorder="1" applyAlignment="1">
      <alignment horizontal="left"/>
    </xf>
    <xf numFmtId="2" fontId="30" fillId="9" borderId="94" xfId="0" applyNumberFormat="1" applyFont="1" applyFill="1" applyBorder="1" applyAlignment="1">
      <alignment horizontal="center" vertical="center"/>
    </xf>
    <xf numFmtId="2" fontId="30" fillId="9" borderId="41" xfId="0" applyNumberFormat="1" applyFont="1" applyFill="1" applyBorder="1" applyAlignment="1">
      <alignment horizontal="center" vertical="center"/>
    </xf>
    <xf numFmtId="2" fontId="19" fillId="9" borderId="0" xfId="0" applyNumberFormat="1" applyFont="1" applyFill="1" applyAlignment="1">
      <alignment horizontal="center" vertical="center"/>
    </xf>
    <xf numFmtId="4" fontId="30" fillId="9" borderId="0" xfId="0" applyNumberFormat="1" applyFont="1" applyFill="1" applyAlignment="1">
      <alignment horizontal="center" vertical="center"/>
    </xf>
    <xf numFmtId="9" fontId="30" fillId="9" borderId="0" xfId="0" applyNumberFormat="1" applyFont="1" applyFill="1" applyAlignment="1">
      <alignment horizontal="center" vertical="center"/>
    </xf>
    <xf numFmtId="0" fontId="30" fillId="9" borderId="47" xfId="0" applyFont="1" applyFill="1" applyBorder="1" applyAlignment="1">
      <alignment horizontal="left" vertical="center"/>
    </xf>
    <xf numFmtId="0" fontId="18" fillId="2" borderId="71" xfId="0" applyFont="1" applyFill="1" applyBorder="1" applyAlignment="1">
      <alignment vertical="center"/>
    </xf>
    <xf numFmtId="9" fontId="23" fillId="0" borderId="95" xfId="0" applyNumberFormat="1" applyFont="1" applyBorder="1" applyAlignment="1">
      <alignment horizontal="center" vertical="center"/>
    </xf>
    <xf numFmtId="167" fontId="30" fillId="2" borderId="64" xfId="0" applyNumberFormat="1" applyFont="1" applyFill="1" applyBorder="1" applyAlignment="1">
      <alignment horizontal="center" vertical="center"/>
    </xf>
    <xf numFmtId="0" fontId="30" fillId="2" borderId="66" xfId="0" applyFont="1" applyFill="1" applyBorder="1" applyAlignment="1">
      <alignment horizontal="left" wrapText="1"/>
    </xf>
    <xf numFmtId="2" fontId="30" fillId="9" borderId="67" xfId="0" applyNumberFormat="1" applyFont="1" applyFill="1" applyBorder="1" applyAlignment="1">
      <alignment horizontal="center" vertical="center"/>
    </xf>
    <xf numFmtId="4" fontId="30" fillId="9" borderId="64" xfId="0" applyNumberFormat="1" applyFont="1" applyFill="1" applyBorder="1" applyAlignment="1">
      <alignment horizontal="center" vertical="center"/>
    </xf>
    <xf numFmtId="9" fontId="30" fillId="9" borderId="64" xfId="0" applyNumberFormat="1" applyFont="1" applyFill="1" applyBorder="1" applyAlignment="1">
      <alignment horizontal="center" vertical="center"/>
    </xf>
    <xf numFmtId="0" fontId="30" fillId="9" borderId="70" xfId="0" applyFont="1" applyFill="1" applyBorder="1" applyAlignment="1">
      <alignment horizontal="left" vertical="center"/>
    </xf>
    <xf numFmtId="3" fontId="30" fillId="2" borderId="96" xfId="0" applyNumberFormat="1" applyFont="1" applyFill="1" applyBorder="1" applyAlignment="1">
      <alignment horizontal="center" vertical="center"/>
    </xf>
    <xf numFmtId="0" fontId="30" fillId="2" borderId="97" xfId="0" applyFont="1" applyFill="1" applyBorder="1" applyAlignment="1">
      <alignment horizontal="left"/>
    </xf>
    <xf numFmtId="2" fontId="30" fillId="9" borderId="90" xfId="0" applyNumberFormat="1" applyFont="1" applyFill="1" applyBorder="1" applyAlignment="1">
      <alignment horizontal="center" vertical="center"/>
    </xf>
    <xf numFmtId="2" fontId="30" fillId="9" borderId="89" xfId="0" applyNumberFormat="1" applyFont="1" applyFill="1" applyBorder="1" applyAlignment="1">
      <alignment horizontal="center" vertical="center"/>
    </xf>
    <xf numFmtId="0" fontId="30" fillId="9" borderId="98" xfId="0" applyFont="1" applyFill="1" applyBorder="1" applyAlignment="1">
      <alignment horizontal="left" vertical="center"/>
    </xf>
    <xf numFmtId="0" fontId="30" fillId="2" borderId="66" xfId="0" applyFont="1" applyFill="1" applyBorder="1" applyAlignment="1">
      <alignment horizontal="left"/>
    </xf>
    <xf numFmtId="2" fontId="30" fillId="9" borderId="0" xfId="0" applyNumberFormat="1" applyFont="1" applyFill="1" applyAlignment="1">
      <alignment horizontal="center" vertical="center"/>
    </xf>
    <xf numFmtId="2" fontId="30" fillId="9" borderId="64" xfId="0" applyNumberFormat="1" applyFont="1" applyFill="1" applyBorder="1" applyAlignment="1">
      <alignment horizontal="center" vertical="center"/>
    </xf>
    <xf numFmtId="3" fontId="30" fillId="9" borderId="92" xfId="0" applyNumberFormat="1" applyFont="1" applyFill="1" applyBorder="1" applyAlignment="1">
      <alignment horizontal="center" vertical="center"/>
    </xf>
    <xf numFmtId="167" fontId="30" fillId="9" borderId="0" xfId="0" applyNumberFormat="1" applyFont="1" applyFill="1" applyAlignment="1">
      <alignment horizontal="center" vertical="center"/>
    </xf>
    <xf numFmtId="2" fontId="30" fillId="9" borderId="100" xfId="0" applyNumberFormat="1" applyFont="1" applyFill="1" applyBorder="1" applyAlignment="1">
      <alignment horizontal="center" vertical="center"/>
    </xf>
    <xf numFmtId="3" fontId="30" fillId="9" borderId="65" xfId="0" applyNumberFormat="1" applyFont="1" applyFill="1" applyBorder="1" applyAlignment="1">
      <alignment horizontal="center" vertical="center"/>
    </xf>
    <xf numFmtId="167" fontId="30" fillId="9" borderId="64" xfId="0" applyNumberFormat="1" applyFont="1" applyFill="1" applyBorder="1" applyAlignment="1">
      <alignment horizontal="center" vertical="center"/>
    </xf>
    <xf numFmtId="0" fontId="30" fillId="2" borderId="66" xfId="0" applyFont="1" applyFill="1" applyBorder="1" applyAlignment="1">
      <alignment horizontal="left" vertical="center"/>
    </xf>
    <xf numFmtId="3" fontId="30" fillId="4" borderId="0" xfId="0" applyNumberFormat="1" applyFont="1" applyFill="1" applyAlignment="1">
      <alignment horizontal="center" vertical="center"/>
    </xf>
    <xf numFmtId="0" fontId="30" fillId="4" borderId="93" xfId="0" applyFont="1" applyFill="1" applyBorder="1" applyAlignment="1">
      <alignment horizontal="left"/>
    </xf>
    <xf numFmtId="0" fontId="30" fillId="9" borderId="47" xfId="0" applyFont="1" applyFill="1" applyBorder="1" applyAlignment="1">
      <alignment horizontal="left"/>
    </xf>
    <xf numFmtId="9" fontId="23" fillId="0" borderId="38" xfId="0" applyNumberFormat="1" applyFont="1" applyBorder="1" applyAlignment="1">
      <alignment horizontal="center"/>
    </xf>
    <xf numFmtId="3" fontId="30" fillId="2" borderId="102" xfId="0" applyNumberFormat="1" applyFont="1" applyFill="1" applyBorder="1" applyAlignment="1">
      <alignment horizontal="center"/>
    </xf>
    <xf numFmtId="167" fontId="30" fillId="2" borderId="103" xfId="0" applyNumberFormat="1" applyFont="1" applyFill="1" applyBorder="1" applyAlignment="1">
      <alignment horizontal="center"/>
    </xf>
    <xf numFmtId="3" fontId="30" fillId="2" borderId="103" xfId="0" applyNumberFormat="1" applyFont="1" applyFill="1" applyBorder="1" applyAlignment="1">
      <alignment horizontal="center"/>
    </xf>
    <xf numFmtId="9" fontId="30" fillId="2" borderId="103" xfId="0" applyNumberFormat="1" applyFont="1" applyFill="1" applyBorder="1" applyAlignment="1">
      <alignment horizontal="center"/>
    </xf>
    <xf numFmtId="0" fontId="30" fillId="2" borderId="104" xfId="0" applyFont="1" applyFill="1" applyBorder="1" applyAlignment="1">
      <alignment horizontal="center"/>
    </xf>
    <xf numFmtId="2" fontId="30" fillId="9" borderId="105" xfId="0" applyNumberFormat="1" applyFont="1" applyFill="1" applyBorder="1" applyAlignment="1">
      <alignment horizontal="center"/>
    </xf>
    <xf numFmtId="2" fontId="30" fillId="9" borderId="43" xfId="0" applyNumberFormat="1" applyFont="1" applyFill="1" applyBorder="1" applyAlignment="1">
      <alignment horizontal="center"/>
    </xf>
    <xf numFmtId="2" fontId="19" fillId="9" borderId="39" xfId="0" applyNumberFormat="1" applyFont="1" applyFill="1" applyBorder="1" applyAlignment="1">
      <alignment horizontal="center"/>
    </xf>
    <xf numFmtId="4" fontId="30" fillId="9" borderId="106" xfId="0" applyNumberFormat="1" applyFont="1" applyFill="1" applyBorder="1" applyAlignment="1">
      <alignment horizontal="center"/>
    </xf>
    <xf numFmtId="0" fontId="30" fillId="2" borderId="51" xfId="0" applyFont="1" applyFill="1" applyBorder="1"/>
    <xf numFmtId="0" fontId="35" fillId="9" borderId="0" xfId="0" applyFont="1" applyFill="1" applyAlignment="1">
      <alignment horizontal="center"/>
    </xf>
    <xf numFmtId="0" fontId="36" fillId="9" borderId="110" xfId="0" applyFont="1" applyFill="1" applyBorder="1" applyAlignment="1">
      <alignment horizontal="center"/>
    </xf>
    <xf numFmtId="0" fontId="36" fillId="9" borderId="111" xfId="0" applyFont="1" applyFill="1" applyBorder="1" applyAlignment="1">
      <alignment horizontal="center"/>
    </xf>
    <xf numFmtId="9" fontId="30" fillId="2" borderId="41" xfId="0" applyNumberFormat="1" applyFont="1" applyFill="1" applyBorder="1" applyAlignment="1">
      <alignment horizontal="center"/>
    </xf>
    <xf numFmtId="170" fontId="30" fillId="2" borderId="0" xfId="0" applyNumberFormat="1" applyFont="1" applyFill="1" applyAlignment="1">
      <alignment horizontal="center"/>
    </xf>
    <xf numFmtId="3" fontId="30" fillId="2" borderId="92" xfId="0" applyNumberFormat="1" applyFont="1" applyFill="1" applyBorder="1" applyAlignment="1">
      <alignment horizontal="center"/>
    </xf>
    <xf numFmtId="3" fontId="30" fillId="2" borderId="41" xfId="0" applyNumberFormat="1" applyFont="1" applyFill="1" applyBorder="1" applyAlignment="1">
      <alignment horizontal="center"/>
    </xf>
    <xf numFmtId="0" fontId="30" fillId="2" borderId="93" xfId="0" applyFont="1" applyFill="1" applyBorder="1" applyAlignment="1">
      <alignment horizontal="center"/>
    </xf>
    <xf numFmtId="4" fontId="30" fillId="2" borderId="94" xfId="0" applyNumberFormat="1" applyFont="1" applyFill="1" applyBorder="1" applyAlignment="1">
      <alignment horizontal="center"/>
    </xf>
    <xf numFmtId="4" fontId="30" fillId="2" borderId="41" xfId="0" applyNumberFormat="1" applyFont="1" applyFill="1" applyBorder="1" applyAlignment="1">
      <alignment horizontal="center"/>
    </xf>
    <xf numFmtId="4" fontId="30" fillId="2" borderId="0" xfId="0" applyNumberFormat="1" applyFont="1" applyFill="1" applyAlignment="1">
      <alignment horizontal="center"/>
    </xf>
    <xf numFmtId="170" fontId="30" fillId="2" borderId="39" xfId="0" applyNumberFormat="1" applyFont="1" applyFill="1" applyBorder="1" applyAlignment="1">
      <alignment horizontal="center"/>
    </xf>
    <xf numFmtId="4" fontId="30" fillId="2" borderId="105" xfId="0" applyNumberFormat="1" applyFont="1" applyFill="1" applyBorder="1" applyAlignment="1">
      <alignment horizontal="center"/>
    </xf>
    <xf numFmtId="4" fontId="30" fillId="2" borderId="39" xfId="0" applyNumberFormat="1" applyFont="1" applyFill="1" applyBorder="1" applyAlignment="1">
      <alignment horizontal="center"/>
    </xf>
    <xf numFmtId="0" fontId="30" fillId="2" borderId="42" xfId="0" applyFont="1" applyFill="1" applyBorder="1"/>
    <xf numFmtId="9" fontId="30" fillId="2" borderId="42" xfId="0" applyNumberFormat="1" applyFont="1" applyFill="1" applyBorder="1" applyAlignment="1">
      <alignment horizontal="center"/>
    </xf>
    <xf numFmtId="10" fontId="31" fillId="2" borderId="32" xfId="0" applyNumberFormat="1" applyFont="1" applyFill="1" applyBorder="1" applyAlignment="1">
      <alignment horizontal="center"/>
    </xf>
    <xf numFmtId="0" fontId="30" fillId="2" borderId="112" xfId="0" applyFont="1" applyFill="1" applyBorder="1" applyAlignment="1">
      <alignment horizontal="center"/>
    </xf>
    <xf numFmtId="3" fontId="30" fillId="2" borderId="113" xfId="0" applyNumberFormat="1" applyFont="1" applyFill="1" applyBorder="1" applyAlignment="1">
      <alignment horizontal="center"/>
    </xf>
    <xf numFmtId="0" fontId="18" fillId="2" borderId="71" xfId="0" applyFont="1" applyFill="1" applyBorder="1"/>
    <xf numFmtId="9" fontId="30" fillId="2" borderId="64" xfId="0" applyNumberFormat="1" applyFont="1" applyFill="1" applyBorder="1" applyAlignment="1">
      <alignment horizontal="center"/>
    </xf>
    <xf numFmtId="3" fontId="30" fillId="2" borderId="114" xfId="0" applyNumberFormat="1" applyFont="1" applyFill="1" applyBorder="1" applyAlignment="1">
      <alignment horizontal="center"/>
    </xf>
    <xf numFmtId="3" fontId="30" fillId="2" borderId="64" xfId="0" applyNumberFormat="1" applyFont="1" applyFill="1" applyBorder="1" applyAlignment="1">
      <alignment horizontal="center"/>
    </xf>
    <xf numFmtId="0" fontId="30" fillId="2" borderId="66" xfId="0" applyFont="1" applyFill="1" applyBorder="1" applyAlignment="1">
      <alignment horizontal="center"/>
    </xf>
    <xf numFmtId="4" fontId="30" fillId="2" borderId="64" xfId="0" applyNumberFormat="1" applyFont="1" applyFill="1" applyBorder="1" applyAlignment="1">
      <alignment horizontal="center"/>
    </xf>
    <xf numFmtId="0" fontId="30" fillId="9" borderId="70" xfId="0" applyFont="1" applyFill="1" applyBorder="1" applyAlignment="1">
      <alignment horizontal="center"/>
    </xf>
    <xf numFmtId="0" fontId="30" fillId="2" borderId="73" xfId="0" applyFont="1" applyFill="1" applyBorder="1" applyAlignment="1">
      <alignment horizontal="center"/>
    </xf>
    <xf numFmtId="0" fontId="30" fillId="9" borderId="76" xfId="0" applyFont="1" applyFill="1" applyBorder="1" applyAlignment="1">
      <alignment horizontal="center"/>
    </xf>
    <xf numFmtId="0" fontId="30" fillId="2" borderId="115" xfId="0" applyFont="1" applyFill="1" applyBorder="1" applyAlignment="1">
      <alignment horizontal="center"/>
    </xf>
    <xf numFmtId="0" fontId="30" fillId="2" borderId="97" xfId="0" applyFont="1" applyFill="1" applyBorder="1" applyAlignment="1">
      <alignment horizontal="center"/>
    </xf>
    <xf numFmtId="0" fontId="30" fillId="9" borderId="98" xfId="0" applyFont="1" applyFill="1" applyBorder="1" applyAlignment="1">
      <alignment horizontal="center"/>
    </xf>
    <xf numFmtId="0" fontId="30" fillId="2" borderId="36" xfId="0" applyFont="1" applyFill="1" applyBorder="1"/>
    <xf numFmtId="0" fontId="31" fillId="9" borderId="121" xfId="0" applyFont="1" applyFill="1" applyBorder="1" applyAlignment="1">
      <alignment horizontal="center"/>
    </xf>
    <xf numFmtId="0" fontId="31" fillId="2" borderId="121" xfId="0" applyFont="1" applyFill="1" applyBorder="1" applyAlignment="1">
      <alignment horizontal="center"/>
    </xf>
    <xf numFmtId="0" fontId="30" fillId="12" borderId="37" xfId="0" applyFont="1" applyFill="1" applyBorder="1" applyAlignment="1">
      <alignment horizontal="center"/>
    </xf>
    <xf numFmtId="0" fontId="18" fillId="12" borderId="117" xfId="0" applyFont="1" applyFill="1" applyBorder="1"/>
    <xf numFmtId="0" fontId="30" fillId="12" borderId="117" xfId="0" applyFont="1" applyFill="1" applyBorder="1" applyAlignment="1">
      <alignment horizontal="left"/>
    </xf>
    <xf numFmtId="3" fontId="30" fillId="12" borderId="118" xfId="0" applyNumberFormat="1" applyFont="1" applyFill="1" applyBorder="1" applyAlignment="1">
      <alignment horizontal="center"/>
    </xf>
    <xf numFmtId="9" fontId="30" fillId="12" borderId="119" xfId="0" applyNumberFormat="1" applyFont="1" applyFill="1" applyBorder="1" applyAlignment="1">
      <alignment horizontal="center"/>
    </xf>
    <xf numFmtId="4" fontId="30" fillId="12" borderId="122" xfId="0" applyNumberFormat="1" applyFont="1" applyFill="1" applyBorder="1" applyAlignment="1">
      <alignment horizontal="center"/>
    </xf>
    <xf numFmtId="4" fontId="30" fillId="12" borderId="118" xfId="0" applyNumberFormat="1" applyFont="1" applyFill="1" applyBorder="1" applyAlignment="1">
      <alignment horizontal="center"/>
    </xf>
    <xf numFmtId="0" fontId="30" fillId="12" borderId="114" xfId="0" applyFont="1" applyFill="1" applyBorder="1" applyAlignment="1">
      <alignment horizontal="left"/>
    </xf>
    <xf numFmtId="2" fontId="30" fillId="12" borderId="122" xfId="0" applyNumberFormat="1" applyFont="1" applyFill="1" applyBorder="1" applyAlignment="1">
      <alignment horizontal="center"/>
    </xf>
    <xf numFmtId="2" fontId="19" fillId="12" borderId="118" xfId="0" applyNumberFormat="1" applyFont="1" applyFill="1" applyBorder="1" applyAlignment="1">
      <alignment horizontal="center"/>
    </xf>
    <xf numFmtId="3" fontId="30" fillId="12" borderId="122" xfId="0" applyNumberFormat="1" applyFont="1" applyFill="1" applyBorder="1" applyAlignment="1">
      <alignment horizontal="center"/>
    </xf>
    <xf numFmtId="3" fontId="19" fillId="12" borderId="118" xfId="0" applyNumberFormat="1" applyFont="1" applyFill="1" applyBorder="1" applyAlignment="1">
      <alignment horizontal="center"/>
    </xf>
    <xf numFmtId="9" fontId="30" fillId="12" borderId="122" xfId="0" applyNumberFormat="1" applyFont="1" applyFill="1" applyBorder="1" applyAlignment="1">
      <alignment horizontal="center"/>
    </xf>
    <xf numFmtId="9" fontId="19" fillId="12" borderId="118" xfId="0" applyNumberFormat="1" applyFont="1" applyFill="1" applyBorder="1" applyAlignment="1">
      <alignment horizontal="center"/>
    </xf>
    <xf numFmtId="0" fontId="30" fillId="4" borderId="37" xfId="0" applyFont="1" applyFill="1" applyBorder="1" applyAlignment="1">
      <alignment horizontal="center"/>
    </xf>
    <xf numFmtId="0" fontId="18" fillId="4" borderId="117" xfId="0" applyFont="1" applyFill="1" applyBorder="1"/>
    <xf numFmtId="0" fontId="30" fillId="4" borderId="117" xfId="0" applyFont="1" applyFill="1" applyBorder="1" applyAlignment="1">
      <alignment horizontal="left"/>
    </xf>
    <xf numFmtId="3" fontId="30" fillId="4" borderId="118" xfId="0" applyNumberFormat="1" applyFont="1" applyFill="1" applyBorder="1" applyAlignment="1">
      <alignment horizontal="center"/>
    </xf>
    <xf numFmtId="9" fontId="30" fillId="4" borderId="119" xfId="0" applyNumberFormat="1" applyFont="1" applyFill="1" applyBorder="1" applyAlignment="1">
      <alignment horizontal="center"/>
    </xf>
    <xf numFmtId="4" fontId="30" fillId="4" borderId="122" xfId="0" applyNumberFormat="1" applyFont="1" applyFill="1" applyBorder="1" applyAlignment="1">
      <alignment horizontal="center"/>
    </xf>
    <xf numFmtId="4" fontId="30" fillId="4" borderId="118" xfId="0" applyNumberFormat="1" applyFont="1" applyFill="1" applyBorder="1" applyAlignment="1">
      <alignment horizontal="center"/>
    </xf>
    <xf numFmtId="0" fontId="30" fillId="4" borderId="114" xfId="0" applyFont="1" applyFill="1" applyBorder="1" applyAlignment="1">
      <alignment horizontal="left"/>
    </xf>
    <xf numFmtId="0" fontId="30" fillId="12" borderId="119" xfId="0" applyFont="1" applyFill="1" applyBorder="1" applyAlignment="1">
      <alignment horizontal="center"/>
    </xf>
    <xf numFmtId="9" fontId="30" fillId="12" borderId="118" xfId="0" applyNumberFormat="1" applyFont="1" applyFill="1" applyBorder="1" applyAlignment="1">
      <alignment horizontal="center"/>
    </xf>
    <xf numFmtId="167" fontId="30" fillId="12" borderId="122" xfId="0" applyNumberFormat="1" applyFont="1" applyFill="1" applyBorder="1" applyAlignment="1">
      <alignment horizontal="center"/>
    </xf>
    <xf numFmtId="167" fontId="19" fillId="12" borderId="118" xfId="0" applyNumberFormat="1" applyFont="1" applyFill="1" applyBorder="1" applyAlignment="1">
      <alignment horizontal="center"/>
    </xf>
    <xf numFmtId="3" fontId="30" fillId="12" borderId="123" xfId="0" applyNumberFormat="1" applyFont="1" applyFill="1" applyBorder="1" applyAlignment="1">
      <alignment horizontal="left"/>
    </xf>
    <xf numFmtId="2" fontId="30" fillId="12" borderId="72" xfId="0" applyNumberFormat="1" applyFont="1" applyFill="1" applyBorder="1" applyAlignment="1">
      <alignment horizontal="left"/>
    </xf>
    <xf numFmtId="0" fontId="30" fillId="12" borderId="118" xfId="0" applyFont="1" applyFill="1" applyBorder="1" applyAlignment="1">
      <alignment horizontal="center"/>
    </xf>
    <xf numFmtId="0" fontId="30" fillId="12" borderId="124" xfId="0" applyFont="1" applyFill="1" applyBorder="1" applyAlignment="1">
      <alignment horizontal="center"/>
    </xf>
    <xf numFmtId="2" fontId="30" fillId="12" borderId="72" xfId="0" applyNumberFormat="1" applyFont="1" applyFill="1" applyBorder="1" applyAlignment="1">
      <alignment horizontal="center"/>
    </xf>
    <xf numFmtId="0" fontId="30" fillId="12" borderId="125" xfId="0" applyFont="1" applyFill="1" applyBorder="1"/>
    <xf numFmtId="2" fontId="30" fillId="12" borderId="123" xfId="0" applyNumberFormat="1" applyFont="1" applyFill="1" applyBorder="1" applyAlignment="1">
      <alignment horizontal="left"/>
    </xf>
    <xf numFmtId="0" fontId="30" fillId="12" borderId="123" xfId="0" applyFont="1" applyFill="1" applyBorder="1" applyAlignment="1">
      <alignment horizontal="center"/>
    </xf>
    <xf numFmtId="0" fontId="30" fillId="12" borderId="125" xfId="0" applyFont="1" applyFill="1" applyBorder="1" applyAlignment="1">
      <alignment horizontal="center"/>
    </xf>
    <xf numFmtId="0" fontId="18" fillId="2" borderId="117" xfId="0" applyFont="1" applyFill="1" applyBorder="1"/>
    <xf numFmtId="9" fontId="23" fillId="0" borderId="117" xfId="0" applyNumberFormat="1" applyFont="1" applyBorder="1" applyAlignment="1">
      <alignment horizontal="center"/>
    </xf>
    <xf numFmtId="9" fontId="30" fillId="2" borderId="118" xfId="0" applyNumberFormat="1" applyFont="1" applyFill="1" applyBorder="1" applyAlignment="1">
      <alignment horizontal="center"/>
    </xf>
    <xf numFmtId="0" fontId="30" fillId="2" borderId="118" xfId="0" applyFont="1" applyFill="1" applyBorder="1" applyAlignment="1">
      <alignment horizontal="center"/>
    </xf>
    <xf numFmtId="0" fontId="23" fillId="0" borderId="119" xfId="0" applyFont="1" applyBorder="1" applyAlignment="1">
      <alignment horizontal="center"/>
    </xf>
    <xf numFmtId="3" fontId="30" fillId="2" borderId="123" xfId="0" applyNumberFormat="1" applyFont="1" applyFill="1" applyBorder="1" applyAlignment="1">
      <alignment horizontal="center"/>
    </xf>
    <xf numFmtId="3" fontId="30" fillId="2" borderId="118" xfId="0" applyNumberFormat="1" applyFont="1" applyFill="1" applyBorder="1" applyAlignment="1">
      <alignment horizontal="center"/>
    </xf>
    <xf numFmtId="0" fontId="30" fillId="2" borderId="124" xfId="0" applyFont="1" applyFill="1" applyBorder="1" applyAlignment="1">
      <alignment horizontal="center"/>
    </xf>
    <xf numFmtId="2" fontId="30" fillId="9" borderId="123" xfId="0" applyNumberFormat="1" applyFont="1" applyFill="1" applyBorder="1" applyAlignment="1">
      <alignment horizontal="center"/>
    </xf>
    <xf numFmtId="2" fontId="19" fillId="9" borderId="118" xfId="0" applyNumberFormat="1" applyFont="1" applyFill="1" applyBorder="1" applyAlignment="1">
      <alignment horizontal="center"/>
    </xf>
    <xf numFmtId="4" fontId="30" fillId="9" borderId="118" xfId="0" applyNumberFormat="1" applyFont="1" applyFill="1" applyBorder="1" applyAlignment="1">
      <alignment horizontal="center"/>
    </xf>
    <xf numFmtId="0" fontId="30" fillId="9" borderId="118" xfId="0" applyFont="1" applyFill="1" applyBorder="1" applyAlignment="1">
      <alignment horizontal="center"/>
    </xf>
    <xf numFmtId="0" fontId="30" fillId="9" borderId="124" xfId="0" applyFont="1" applyFill="1" applyBorder="1"/>
    <xf numFmtId="0" fontId="30" fillId="2" borderId="123" xfId="0" applyFont="1" applyFill="1" applyBorder="1" applyAlignment="1">
      <alignment horizontal="left"/>
    </xf>
    <xf numFmtId="0" fontId="30" fillId="2" borderId="125" xfId="0" applyFont="1" applyFill="1" applyBorder="1"/>
    <xf numFmtId="0" fontId="30" fillId="2" borderId="124" xfId="0" applyFont="1" applyFill="1" applyBorder="1"/>
    <xf numFmtId="0" fontId="23" fillId="0" borderId="0" xfId="0" applyFont="1" applyAlignment="1">
      <alignment horizontal="center"/>
    </xf>
    <xf numFmtId="0" fontId="39" fillId="14" borderId="126" xfId="0" applyFont="1" applyFill="1" applyBorder="1"/>
    <xf numFmtId="0" fontId="39" fillId="14" borderId="126" xfId="0" applyFont="1" applyFill="1" applyBorder="1" applyAlignment="1">
      <alignment horizontal="center"/>
    </xf>
    <xf numFmtId="0" fontId="40" fillId="14" borderId="126" xfId="0" applyFont="1" applyFill="1" applyBorder="1" applyAlignment="1">
      <alignment horizontal="center"/>
    </xf>
    <xf numFmtId="3" fontId="39" fillId="0" borderId="126" xfId="0" applyNumberFormat="1" applyFont="1" applyBorder="1" applyAlignment="1">
      <alignment horizontal="center"/>
    </xf>
    <xf numFmtId="3" fontId="13" fillId="0" borderId="126" xfId="0" applyNumberFormat="1" applyFont="1" applyBorder="1" applyAlignment="1">
      <alignment horizontal="right"/>
    </xf>
    <xf numFmtId="0" fontId="22" fillId="0" borderId="0" xfId="0" applyFont="1"/>
    <xf numFmtId="0" fontId="32" fillId="2" borderId="6" xfId="0" applyFont="1" applyFill="1" applyBorder="1" applyAlignment="1">
      <alignment horizontal="center"/>
    </xf>
    <xf numFmtId="3" fontId="1" fillId="4" borderId="6" xfId="0" applyNumberFormat="1" applyFont="1" applyFill="1" applyBorder="1" applyAlignment="1">
      <alignment horizontal="center"/>
    </xf>
    <xf numFmtId="0" fontId="41" fillId="16" borderId="1" xfId="0" applyFont="1" applyFill="1" applyBorder="1" applyAlignment="1">
      <alignment vertical="center"/>
    </xf>
    <xf numFmtId="0" fontId="4" fillId="16" borderId="1" xfId="0" applyFont="1" applyFill="1" applyBorder="1" applyAlignment="1">
      <alignment vertical="center" wrapText="1"/>
    </xf>
    <xf numFmtId="41" fontId="4" fillId="16" borderId="1" xfId="0" applyNumberFormat="1" applyFont="1" applyFill="1" applyBorder="1" applyAlignment="1">
      <alignment vertical="center" wrapText="1"/>
    </xf>
    <xf numFmtId="0" fontId="32" fillId="2" borderId="1" xfId="0" applyFont="1" applyFill="1" applyBorder="1"/>
    <xf numFmtId="41" fontId="32" fillId="2" borderId="1" xfId="0" applyNumberFormat="1" applyFont="1" applyFill="1" applyBorder="1"/>
    <xf numFmtId="0" fontId="32" fillId="15" borderId="6" xfId="0" applyFont="1" applyFill="1" applyBorder="1"/>
    <xf numFmtId="0" fontId="32" fillId="2" borderId="41" xfId="0" applyFont="1" applyFill="1" applyBorder="1"/>
    <xf numFmtId="0" fontId="42" fillId="2" borderId="1" xfId="0" applyFont="1" applyFill="1" applyBorder="1" applyAlignment="1">
      <alignment horizontal="left" vertical="top" wrapText="1"/>
    </xf>
    <xf numFmtId="41" fontId="42" fillId="2" borderId="1" xfId="0" applyNumberFormat="1" applyFont="1" applyFill="1" applyBorder="1" applyAlignment="1">
      <alignment horizontal="left" vertical="top" wrapText="1"/>
    </xf>
    <xf numFmtId="3" fontId="32" fillId="2" borderId="6" xfId="0" applyNumberFormat="1" applyFont="1" applyFill="1" applyBorder="1"/>
    <xf numFmtId="0" fontId="43" fillId="5" borderId="1" xfId="0" applyFont="1" applyFill="1" applyBorder="1" applyAlignment="1">
      <alignment horizontal="left" vertical="top" wrapText="1"/>
    </xf>
    <xf numFmtId="0" fontId="44" fillId="5" borderId="1" xfId="0" applyFont="1" applyFill="1" applyBorder="1" applyAlignment="1">
      <alignment horizontal="left" vertical="top"/>
    </xf>
    <xf numFmtId="0" fontId="42" fillId="5" borderId="1" xfId="0" applyFont="1" applyFill="1" applyBorder="1" applyAlignment="1">
      <alignment horizontal="left" vertical="top" wrapText="1"/>
    </xf>
    <xf numFmtId="41" fontId="42" fillId="5" borderId="1" xfId="0" applyNumberFormat="1" applyFont="1" applyFill="1" applyBorder="1" applyAlignment="1">
      <alignment horizontal="left" vertical="top" wrapText="1"/>
    </xf>
    <xf numFmtId="0" fontId="23" fillId="15" borderId="6" xfId="0" applyFont="1" applyFill="1" applyBorder="1"/>
    <xf numFmtId="3" fontId="23" fillId="0" borderId="6" xfId="0" applyNumberFormat="1" applyFont="1" applyBorder="1"/>
    <xf numFmtId="0" fontId="32" fillId="2" borderId="36" xfId="0" applyFont="1" applyFill="1" applyBorder="1"/>
    <xf numFmtId="0" fontId="32" fillId="2" borderId="37" xfId="0" applyFont="1" applyFill="1" applyBorder="1"/>
    <xf numFmtId="0" fontId="22" fillId="15" borderId="6" xfId="0" applyFont="1" applyFill="1" applyBorder="1"/>
    <xf numFmtId="3" fontId="22" fillId="0" borderId="6" xfId="0" applyNumberFormat="1" applyFont="1" applyBorder="1"/>
    <xf numFmtId="3" fontId="45" fillId="2" borderId="6" xfId="0" applyNumberFormat="1" applyFont="1" applyFill="1" applyBorder="1"/>
    <xf numFmtId="0" fontId="46" fillId="7" borderId="6" xfId="0" applyFont="1" applyFill="1" applyBorder="1" applyAlignment="1">
      <alignment horizontal="center" vertical="center" wrapText="1"/>
    </xf>
    <xf numFmtId="0" fontId="32" fillId="2" borderId="42" xfId="0" applyFont="1" applyFill="1" applyBorder="1"/>
    <xf numFmtId="0" fontId="4" fillId="15" borderId="6" xfId="0" applyFont="1" applyFill="1" applyBorder="1" applyAlignment="1">
      <alignment horizontal="center" vertical="center" wrapText="1"/>
    </xf>
    <xf numFmtId="41" fontId="4" fillId="15" borderId="6" xfId="0" applyNumberFormat="1" applyFont="1" applyFill="1" applyBorder="1" applyAlignment="1">
      <alignment horizontal="center" vertical="center" wrapText="1"/>
    </xf>
    <xf numFmtId="0" fontId="45" fillId="5" borderId="6" xfId="0" applyFont="1" applyFill="1" applyBorder="1" applyAlignment="1">
      <alignment horizontal="center"/>
    </xf>
    <xf numFmtId="0" fontId="32" fillId="2" borderId="6" xfId="0" applyFont="1" applyFill="1" applyBorder="1" applyAlignment="1">
      <alignment horizontal="left" vertical="center" wrapText="1"/>
    </xf>
    <xf numFmtId="171" fontId="47" fillId="0" borderId="6" xfId="0" applyNumberFormat="1" applyFont="1" applyBorder="1" applyAlignment="1">
      <alignment horizontal="center"/>
    </xf>
    <xf numFmtId="41" fontId="32" fillId="19" borderId="6" xfId="0" applyNumberFormat="1" applyFont="1" applyFill="1" applyBorder="1"/>
    <xf numFmtId="0" fontId="32" fillId="2" borderId="6" xfId="0" applyFont="1" applyFill="1" applyBorder="1"/>
    <xf numFmtId="1" fontId="32" fillId="2" borderId="6" xfId="0" applyNumberFormat="1" applyFont="1" applyFill="1" applyBorder="1" applyAlignment="1">
      <alignment horizontal="center"/>
    </xf>
    <xf numFmtId="0" fontId="32" fillId="20" borderId="16" xfId="0" applyFont="1" applyFill="1" applyBorder="1"/>
    <xf numFmtId="0" fontId="32" fillId="20" borderId="134" xfId="0" applyFont="1" applyFill="1" applyBorder="1"/>
    <xf numFmtId="0" fontId="32" fillId="20" borderId="135" xfId="0" applyFont="1" applyFill="1" applyBorder="1"/>
    <xf numFmtId="0" fontId="32" fillId="2" borderId="112" xfId="0" applyFont="1" applyFill="1" applyBorder="1"/>
    <xf numFmtId="3" fontId="32" fillId="9" borderId="6" xfId="0" applyNumberFormat="1" applyFont="1" applyFill="1" applyBorder="1"/>
    <xf numFmtId="0" fontId="32" fillId="2" borderId="127" xfId="0" applyFont="1" applyFill="1" applyBorder="1"/>
    <xf numFmtId="0" fontId="32" fillId="2" borderId="136" xfId="0" applyFont="1" applyFill="1" applyBorder="1"/>
    <xf numFmtId="3" fontId="32" fillId="2" borderId="1" xfId="0" applyNumberFormat="1" applyFont="1" applyFill="1" applyBorder="1"/>
    <xf numFmtId="0" fontId="32" fillId="2" borderId="137" xfId="0" applyFont="1" applyFill="1" applyBorder="1"/>
    <xf numFmtId="171" fontId="47" fillId="9" borderId="6" xfId="0" applyNumberFormat="1" applyFont="1" applyFill="1" applyBorder="1" applyAlignment="1">
      <alignment horizontal="center"/>
    </xf>
    <xf numFmtId="0" fontId="32" fillId="9" borderId="6" xfId="0" applyFont="1" applyFill="1" applyBorder="1"/>
    <xf numFmtId="1" fontId="32" fillId="9" borderId="6" xfId="0" applyNumberFormat="1" applyFont="1" applyFill="1" applyBorder="1" applyAlignment="1">
      <alignment horizontal="center"/>
    </xf>
    <xf numFmtId="0" fontId="23" fillId="0" borderId="61" xfId="0" applyFont="1" applyBorder="1"/>
    <xf numFmtId="0" fontId="41" fillId="18" borderId="30" xfId="0" applyFont="1" applyFill="1" applyBorder="1" applyAlignment="1">
      <alignment horizontal="center" vertical="center" wrapText="1"/>
    </xf>
    <xf numFmtId="0" fontId="41" fillId="18" borderId="28" xfId="0" applyFont="1" applyFill="1" applyBorder="1" applyAlignment="1">
      <alignment horizontal="center" vertical="center" wrapText="1"/>
    </xf>
    <xf numFmtId="41" fontId="41" fillId="18" borderId="28" xfId="0" applyNumberFormat="1" applyFont="1" applyFill="1" applyBorder="1" applyAlignment="1">
      <alignment horizontal="center" vertical="center" wrapText="1"/>
    </xf>
    <xf numFmtId="0" fontId="41" fillId="18" borderId="29" xfId="0" applyFont="1" applyFill="1" applyBorder="1" applyAlignment="1">
      <alignment horizontal="center" vertical="center" wrapText="1"/>
    </xf>
    <xf numFmtId="3" fontId="45" fillId="7" borderId="6" xfId="0" applyNumberFormat="1" applyFont="1" applyFill="1" applyBorder="1" applyAlignment="1">
      <alignment horizontal="center"/>
    </xf>
    <xf numFmtId="3" fontId="32" fillId="2" borderId="112" xfId="0" applyNumberFormat="1" applyFont="1" applyFill="1" applyBorder="1"/>
    <xf numFmtId="0" fontId="32" fillId="2" borderId="138" xfId="0" applyFont="1" applyFill="1" applyBorder="1"/>
    <xf numFmtId="3" fontId="32" fillId="2" borderId="139" xfId="0" applyNumberFormat="1" applyFont="1" applyFill="1" applyBorder="1"/>
    <xf numFmtId="0" fontId="32" fillId="2" borderId="140" xfId="0" applyFont="1" applyFill="1" applyBorder="1"/>
    <xf numFmtId="0" fontId="32" fillId="9" borderId="0" xfId="0" applyFont="1" applyFill="1"/>
    <xf numFmtId="0" fontId="8" fillId="9" borderId="0" xfId="0" applyFont="1" applyFill="1" applyAlignment="1">
      <alignment horizontal="center" vertical="center" wrapText="1"/>
    </xf>
    <xf numFmtId="0" fontId="4" fillId="9" borderId="0" xfId="0" applyFont="1" applyFill="1"/>
    <xf numFmtId="3" fontId="32" fillId="2" borderId="89" xfId="0" applyNumberFormat="1" applyFont="1" applyFill="1" applyBorder="1"/>
    <xf numFmtId="3" fontId="32" fillId="2" borderId="42" xfId="0" applyNumberFormat="1" applyFont="1" applyFill="1" applyBorder="1"/>
    <xf numFmtId="0" fontId="23" fillId="0" borderId="0" xfId="0" applyFont="1"/>
    <xf numFmtId="3" fontId="45" fillId="5" borderId="6" xfId="0" applyNumberFormat="1" applyFont="1" applyFill="1" applyBorder="1" applyAlignment="1">
      <alignment horizontal="center"/>
    </xf>
    <xf numFmtId="0" fontId="11" fillId="0" borderId="0" xfId="0" applyFont="1"/>
    <xf numFmtId="41" fontId="47" fillId="9" borderId="6" xfId="0" applyNumberFormat="1" applyFont="1" applyFill="1" applyBorder="1"/>
    <xf numFmtId="41" fontId="32" fillId="2" borderId="6" xfId="0" applyNumberFormat="1" applyFont="1" applyFill="1" applyBorder="1"/>
    <xf numFmtId="3" fontId="45" fillId="7" borderId="6" xfId="0" applyNumberFormat="1" applyFont="1" applyFill="1" applyBorder="1"/>
    <xf numFmtId="41" fontId="32" fillId="2" borderId="36" xfId="0" applyNumberFormat="1" applyFont="1" applyFill="1" applyBorder="1"/>
    <xf numFmtId="0" fontId="4" fillId="15" borderId="32" xfId="0" applyFont="1" applyFill="1" applyBorder="1" applyAlignment="1">
      <alignment horizontal="center" vertical="center" wrapText="1"/>
    </xf>
    <xf numFmtId="0" fontId="4" fillId="15" borderId="32" xfId="0" applyFont="1" applyFill="1" applyBorder="1" applyAlignment="1">
      <alignment horizontal="center" wrapText="1"/>
    </xf>
    <xf numFmtId="0" fontId="32" fillId="2" borderId="32" xfId="0" applyFont="1" applyFill="1" applyBorder="1" applyAlignment="1">
      <alignment horizontal="left" vertical="center" wrapText="1"/>
    </xf>
    <xf numFmtId="172" fontId="32" fillId="9" borderId="32" xfId="0" applyNumberFormat="1" applyFont="1" applyFill="1" applyBorder="1" applyAlignment="1">
      <alignment horizontal="center"/>
    </xf>
    <xf numFmtId="172" fontId="32" fillId="2" borderId="32" xfId="0" applyNumberFormat="1" applyFont="1" applyFill="1" applyBorder="1" applyAlignment="1">
      <alignment horizontal="center"/>
    </xf>
    <xf numFmtId="0" fontId="32" fillId="9" borderId="32" xfId="0" applyFont="1" applyFill="1" applyBorder="1" applyAlignment="1">
      <alignment horizontal="left" vertical="center" wrapText="1"/>
    </xf>
    <xf numFmtId="172" fontId="47" fillId="9" borderId="32" xfId="0" applyNumberFormat="1" applyFont="1" applyFill="1" applyBorder="1" applyAlignment="1">
      <alignment horizontal="center"/>
    </xf>
    <xf numFmtId="0" fontId="48" fillId="21" borderId="142" xfId="0" applyFont="1" applyFill="1" applyBorder="1"/>
    <xf numFmtId="0" fontId="48" fillId="21" borderId="143" xfId="0" applyFont="1" applyFill="1" applyBorder="1" applyAlignment="1">
      <alignment horizontal="center"/>
    </xf>
    <xf numFmtId="0" fontId="48" fillId="21" borderId="144" xfId="0" applyFont="1" applyFill="1" applyBorder="1"/>
    <xf numFmtId="0" fontId="47" fillId="0" borderId="145" xfId="0" applyFont="1" applyBorder="1"/>
    <xf numFmtId="3" fontId="47" fillId="0" borderId="143" xfId="0" applyNumberFormat="1" applyFont="1" applyBorder="1" applyAlignment="1">
      <alignment horizontal="center"/>
    </xf>
    <xf numFmtId="3" fontId="47" fillId="9" borderId="143" xfId="0" applyNumberFormat="1" applyFont="1" applyFill="1" applyBorder="1" applyAlignment="1">
      <alignment horizontal="center"/>
    </xf>
    <xf numFmtId="4" fontId="47" fillId="0" borderId="144" xfId="0" applyNumberFormat="1" applyFont="1" applyBorder="1" applyAlignment="1">
      <alignment horizontal="center"/>
    </xf>
    <xf numFmtId="9" fontId="47" fillId="0" borderId="144" xfId="0" applyNumberFormat="1" applyFont="1" applyBorder="1" applyAlignment="1">
      <alignment horizontal="center"/>
    </xf>
    <xf numFmtId="0" fontId="13" fillId="0" borderId="145" xfId="0" applyFont="1" applyBorder="1"/>
    <xf numFmtId="4" fontId="13" fillId="0" borderId="143" xfId="0" applyNumberFormat="1" applyFont="1" applyBorder="1" applyAlignment="1">
      <alignment horizontal="center"/>
    </xf>
    <xf numFmtId="4" fontId="13" fillId="9" borderId="143" xfId="0" applyNumberFormat="1" applyFont="1" applyFill="1" applyBorder="1" applyAlignment="1">
      <alignment horizontal="center"/>
    </xf>
    <xf numFmtId="9" fontId="13" fillId="0" borderId="144" xfId="0" applyNumberFormat="1" applyFont="1" applyBorder="1" applyAlignment="1">
      <alignment horizontal="center"/>
    </xf>
    <xf numFmtId="9" fontId="47" fillId="0" borderId="143" xfId="0" applyNumberFormat="1" applyFont="1" applyBorder="1" applyAlignment="1">
      <alignment horizontal="center"/>
    </xf>
    <xf numFmtId="9" fontId="47" fillId="9" borderId="143" xfId="0" applyNumberFormat="1" applyFont="1" applyFill="1" applyBorder="1" applyAlignment="1">
      <alignment horizontal="center"/>
    </xf>
    <xf numFmtId="10" fontId="47" fillId="0" borderId="143" xfId="0" applyNumberFormat="1" applyFont="1" applyBorder="1" applyAlignment="1">
      <alignment horizontal="center"/>
    </xf>
    <xf numFmtId="10" fontId="47" fillId="9" borderId="143" xfId="0" applyNumberFormat="1" applyFont="1" applyFill="1" applyBorder="1" applyAlignment="1">
      <alignment horizontal="center"/>
    </xf>
    <xf numFmtId="4" fontId="47" fillId="0" borderId="143" xfId="0" applyNumberFormat="1" applyFont="1" applyBorder="1" applyAlignment="1">
      <alignment horizontal="center"/>
    </xf>
    <xf numFmtId="4" fontId="47" fillId="9" borderId="143" xfId="0" applyNumberFormat="1" applyFont="1" applyFill="1" applyBorder="1" applyAlignment="1">
      <alignment horizontal="center"/>
    </xf>
    <xf numFmtId="0" fontId="47" fillId="0" borderId="144" xfId="0" applyFont="1" applyBorder="1" applyAlignment="1">
      <alignment horizontal="center"/>
    </xf>
    <xf numFmtId="3" fontId="47" fillId="0" borderId="144" xfId="0" applyNumberFormat="1" applyFont="1" applyBorder="1" applyAlignment="1">
      <alignment horizontal="center"/>
    </xf>
    <xf numFmtId="173" fontId="47" fillId="9" borderId="143" xfId="0" applyNumberFormat="1" applyFont="1" applyFill="1" applyBorder="1" applyAlignment="1">
      <alignment horizontal="center"/>
    </xf>
    <xf numFmtId="173" fontId="47" fillId="0" borderId="144" xfId="0" applyNumberFormat="1" applyFont="1" applyBorder="1" applyAlignment="1">
      <alignment horizontal="center"/>
    </xf>
    <xf numFmtId="0" fontId="13" fillId="0" borderId="145" xfId="0" applyFont="1" applyBorder="1" applyAlignment="1">
      <alignment vertical="center"/>
    </xf>
    <xf numFmtId="3" fontId="13" fillId="0" borderId="143" xfId="0" applyNumberFormat="1" applyFont="1" applyBorder="1" applyAlignment="1">
      <alignment horizontal="center" vertical="center"/>
    </xf>
    <xf numFmtId="3" fontId="13" fillId="9" borderId="143" xfId="0" applyNumberFormat="1" applyFont="1" applyFill="1" applyBorder="1" applyAlignment="1">
      <alignment horizontal="center" vertical="center"/>
    </xf>
    <xf numFmtId="4" fontId="13" fillId="0" borderId="144" xfId="0" applyNumberFormat="1" applyFont="1" applyBorder="1" applyAlignment="1">
      <alignment horizontal="center" vertical="center"/>
    </xf>
    <xf numFmtId="9" fontId="13" fillId="0" borderId="144" xfId="0" applyNumberFormat="1" applyFont="1" applyBorder="1" applyAlignment="1">
      <alignment horizontal="center" vertical="center"/>
    </xf>
    <xf numFmtId="0" fontId="13" fillId="0" borderId="146" xfId="0" applyFont="1" applyBorder="1" applyAlignment="1">
      <alignment vertical="center"/>
    </xf>
    <xf numFmtId="4" fontId="13" fillId="0" borderId="147" xfId="0" applyNumberFormat="1" applyFont="1" applyBorder="1" applyAlignment="1">
      <alignment horizontal="center" vertical="center"/>
    </xf>
    <xf numFmtId="4" fontId="13" fillId="9" borderId="147" xfId="0" applyNumberFormat="1" applyFont="1" applyFill="1" applyBorder="1" applyAlignment="1">
      <alignment horizontal="center" vertical="center"/>
    </xf>
    <xf numFmtId="9" fontId="13" fillId="0" borderId="64" xfId="0" applyNumberFormat="1" applyFont="1" applyBorder="1" applyAlignment="1">
      <alignment horizontal="center" vertical="center"/>
    </xf>
    <xf numFmtId="0" fontId="32" fillId="2" borderId="94" xfId="0" applyFont="1" applyFill="1" applyBorder="1"/>
    <xf numFmtId="0" fontId="32" fillId="2" borderId="51" xfId="0" applyFont="1" applyFill="1" applyBorder="1"/>
    <xf numFmtId="41" fontId="32" fillId="2" borderId="51" xfId="0" applyNumberFormat="1" applyFont="1" applyFill="1" applyBorder="1"/>
    <xf numFmtId="0" fontId="8" fillId="16" borderId="1" xfId="0" applyFont="1" applyFill="1" applyBorder="1" applyAlignment="1">
      <alignment vertical="center"/>
    </xf>
    <xf numFmtId="0" fontId="42" fillId="5" borderId="1" xfId="0" applyFont="1" applyFill="1" applyBorder="1" applyAlignment="1">
      <alignment horizontal="left" vertical="top"/>
    </xf>
    <xf numFmtId="0" fontId="32" fillId="5" borderId="1" xfId="0" applyFont="1" applyFill="1" applyBorder="1"/>
    <xf numFmtId="0" fontId="48" fillId="21" borderId="0" xfId="0" applyFont="1" applyFill="1"/>
    <xf numFmtId="0" fontId="48" fillId="21" borderId="153" xfId="0" applyFont="1" applyFill="1" applyBorder="1" applyAlignment="1">
      <alignment horizontal="center"/>
    </xf>
    <xf numFmtId="0" fontId="48" fillId="21" borderId="153" xfId="0" applyFont="1" applyFill="1" applyBorder="1"/>
    <xf numFmtId="0" fontId="13" fillId="0" borderId="155" xfId="0" applyFont="1" applyBorder="1"/>
    <xf numFmtId="3" fontId="13" fillId="9" borderId="156" xfId="0" applyNumberFormat="1" applyFont="1" applyFill="1" applyBorder="1" applyAlignment="1">
      <alignment horizontal="center"/>
    </xf>
    <xf numFmtId="3" fontId="13" fillId="9" borderId="156" xfId="0" applyNumberFormat="1" applyFont="1" applyFill="1" applyBorder="1" applyAlignment="1">
      <alignment horizontal="right"/>
    </xf>
    <xf numFmtId="9" fontId="13" fillId="9" borderId="156" xfId="0" applyNumberFormat="1" applyFont="1" applyFill="1" applyBorder="1" applyAlignment="1">
      <alignment horizontal="center"/>
    </xf>
    <xf numFmtId="0" fontId="13" fillId="0" borderId="157" xfId="0" applyFont="1" applyBorder="1"/>
    <xf numFmtId="0" fontId="47" fillId="0" borderId="159" xfId="0" applyFont="1" applyBorder="1"/>
    <xf numFmtId="0" fontId="13" fillId="0" borderId="160" xfId="0" applyFont="1" applyBorder="1"/>
    <xf numFmtId="0" fontId="47" fillId="0" borderId="161" xfId="0" applyFont="1" applyBorder="1"/>
    <xf numFmtId="9" fontId="47" fillId="9" borderId="162" xfId="0" applyNumberFormat="1" applyFont="1" applyFill="1" applyBorder="1" applyAlignment="1">
      <alignment horizontal="center"/>
    </xf>
    <xf numFmtId="0" fontId="13" fillId="0" borderId="163" xfId="0" applyFont="1" applyBorder="1"/>
    <xf numFmtId="3" fontId="13" fillId="0" borderId="156" xfId="0" applyNumberFormat="1" applyFont="1" applyBorder="1" applyAlignment="1">
      <alignment horizontal="center"/>
    </xf>
    <xf numFmtId="9" fontId="13" fillId="0" borderId="156" xfId="0" applyNumberFormat="1" applyFont="1" applyBorder="1" applyAlignment="1">
      <alignment horizontal="center"/>
    </xf>
    <xf numFmtId="0" fontId="47" fillId="0" borderId="160" xfId="0" applyFont="1" applyBorder="1"/>
    <xf numFmtId="0" fontId="47" fillId="0" borderId="163" xfId="0" applyFont="1" applyBorder="1"/>
    <xf numFmtId="0" fontId="47" fillId="0" borderId="165" xfId="0" applyFont="1" applyBorder="1"/>
    <xf numFmtId="9" fontId="47" fillId="9" borderId="166" xfId="0" applyNumberFormat="1" applyFont="1" applyFill="1" applyBorder="1" applyAlignment="1">
      <alignment horizontal="center"/>
    </xf>
    <xf numFmtId="0" fontId="47" fillId="0" borderId="167" xfId="0" applyFont="1" applyBorder="1"/>
    <xf numFmtId="4" fontId="13" fillId="9" borderId="156" xfId="0" applyNumberFormat="1" applyFont="1" applyFill="1" applyBorder="1" applyAlignment="1">
      <alignment horizontal="center"/>
    </xf>
    <xf numFmtId="0" fontId="47" fillId="0" borderId="157" xfId="0" applyFont="1" applyBorder="1"/>
    <xf numFmtId="4" fontId="13" fillId="0" borderId="156" xfId="0" applyNumberFormat="1" applyFont="1" applyBorder="1" applyAlignment="1">
      <alignment horizontal="center"/>
    </xf>
    <xf numFmtId="0" fontId="13" fillId="0" borderId="156" xfId="0" applyFont="1" applyBorder="1"/>
    <xf numFmtId="3" fontId="13" fillId="0" borderId="169" xfId="0" applyNumberFormat="1" applyFont="1" applyBorder="1" applyAlignment="1">
      <alignment horizontal="center"/>
    </xf>
    <xf numFmtId="0" fontId="47" fillId="0" borderId="143" xfId="0" applyFont="1" applyBorder="1"/>
    <xf numFmtId="0" fontId="13" fillId="0" borderId="162" xfId="0" applyFont="1" applyBorder="1"/>
    <xf numFmtId="4" fontId="13" fillId="0" borderId="162" xfId="0" applyNumberFormat="1" applyFont="1" applyBorder="1" applyAlignment="1">
      <alignment horizontal="center"/>
    </xf>
    <xf numFmtId="9" fontId="13" fillId="0" borderId="162" xfId="0" applyNumberFormat="1" applyFont="1" applyBorder="1" applyAlignment="1">
      <alignment horizontal="center"/>
    </xf>
    <xf numFmtId="0" fontId="22" fillId="0" borderId="163" xfId="0" applyFont="1" applyBorder="1"/>
    <xf numFmtId="0" fontId="32" fillId="2" borderId="172" xfId="0" applyFont="1" applyFill="1" applyBorder="1"/>
    <xf numFmtId="0" fontId="47" fillId="0" borderId="173" xfId="0" applyFont="1" applyBorder="1"/>
    <xf numFmtId="3" fontId="47" fillId="0" borderId="173" xfId="0" applyNumberFormat="1" applyFont="1" applyBorder="1" applyAlignment="1">
      <alignment horizontal="center"/>
    </xf>
    <xf numFmtId="3" fontId="47" fillId="0" borderId="173" xfId="0" applyNumberFormat="1" applyFont="1" applyBorder="1" applyAlignment="1">
      <alignment horizontal="right"/>
    </xf>
    <xf numFmtId="9" fontId="47" fillId="0" borderId="173" xfId="0" applyNumberFormat="1" applyFont="1" applyBorder="1" applyAlignment="1">
      <alignment horizontal="right"/>
    </xf>
    <xf numFmtId="0" fontId="47" fillId="0" borderId="174" xfId="0" applyFont="1" applyBorder="1"/>
    <xf numFmtId="0" fontId="48" fillId="21" borderId="175" xfId="0" applyFont="1" applyFill="1" applyBorder="1"/>
    <xf numFmtId="0" fontId="48" fillId="21" borderId="176" xfId="0" applyFont="1" applyFill="1" applyBorder="1"/>
    <xf numFmtId="0" fontId="48" fillId="21" borderId="177" xfId="0" applyFont="1" applyFill="1" applyBorder="1"/>
    <xf numFmtId="0" fontId="47" fillId="0" borderId="178" xfId="0" applyFont="1" applyBorder="1"/>
    <xf numFmtId="2" fontId="47" fillId="0" borderId="143" xfId="0" applyNumberFormat="1" applyFont="1" applyBorder="1"/>
    <xf numFmtId="0" fontId="47" fillId="0" borderId="179" xfId="0" applyFont="1" applyBorder="1"/>
    <xf numFmtId="0" fontId="47" fillId="0" borderId="180" xfId="0" applyFont="1" applyBorder="1"/>
    <xf numFmtId="2" fontId="47" fillId="0" borderId="181" xfId="0" applyNumberFormat="1" applyFont="1" applyBorder="1"/>
    <xf numFmtId="3" fontId="4" fillId="9" borderId="0" xfId="0" applyNumberFormat="1" applyFont="1" applyFill="1"/>
    <xf numFmtId="10" fontId="47" fillId="0" borderId="181" xfId="0" applyNumberFormat="1" applyFont="1" applyBorder="1" applyAlignment="1">
      <alignment horizontal="left"/>
    </xf>
    <xf numFmtId="0" fontId="10" fillId="9" borderId="117" xfId="0" applyFont="1" applyFill="1" applyBorder="1"/>
    <xf numFmtId="0" fontId="4" fillId="9" borderId="118" xfId="0" applyFont="1" applyFill="1" applyBorder="1"/>
    <xf numFmtId="0" fontId="4" fillId="9" borderId="119" xfId="0" applyFont="1" applyFill="1" applyBorder="1"/>
    <xf numFmtId="0" fontId="4" fillId="9" borderId="117" xfId="0" applyFont="1" applyFill="1" applyBorder="1"/>
    <xf numFmtId="3" fontId="4" fillId="9" borderId="118" xfId="0" applyNumberFormat="1" applyFont="1" applyFill="1" applyBorder="1"/>
    <xf numFmtId="0" fontId="49" fillId="4" borderId="0" xfId="0" applyFont="1" applyFill="1"/>
    <xf numFmtId="0" fontId="4" fillId="16" borderId="1" xfId="0" applyFont="1" applyFill="1" applyBorder="1" applyAlignment="1">
      <alignment horizontal="center" vertical="center" wrapText="1"/>
    </xf>
    <xf numFmtId="41" fontId="4" fillId="16" borderId="1" xfId="0" applyNumberFormat="1" applyFont="1" applyFill="1" applyBorder="1" applyAlignment="1">
      <alignment horizontal="center" vertical="center" wrapText="1"/>
    </xf>
    <xf numFmtId="0" fontId="32" fillId="2" borderId="1" xfId="0" applyFont="1" applyFill="1" applyBorder="1" applyAlignment="1">
      <alignment horizontal="center"/>
    </xf>
    <xf numFmtId="41" fontId="32" fillId="2" borderId="1" xfId="0" applyNumberFormat="1" applyFont="1" applyFill="1" applyBorder="1" applyAlignment="1">
      <alignment horizontal="center"/>
    </xf>
    <xf numFmtId="10" fontId="32" fillId="2" borderId="1" xfId="0" applyNumberFormat="1" applyFont="1" applyFill="1" applyBorder="1"/>
    <xf numFmtId="0" fontId="42" fillId="2" borderId="1" xfId="0" applyFont="1" applyFill="1" applyBorder="1" applyAlignment="1">
      <alignment horizontal="center" vertical="top" wrapText="1"/>
    </xf>
    <xf numFmtId="41" fontId="42" fillId="2" borderId="1" xfId="0" applyNumberFormat="1" applyFont="1" applyFill="1" applyBorder="1" applyAlignment="1">
      <alignment horizontal="center" vertical="top" wrapText="1"/>
    </xf>
    <xf numFmtId="0" fontId="42" fillId="5" borderId="1" xfId="0" applyFont="1" applyFill="1" applyBorder="1" applyAlignment="1">
      <alignment horizontal="center" vertical="top" wrapText="1"/>
    </xf>
    <xf numFmtId="41" fontId="42" fillId="5" borderId="1" xfId="0" applyNumberFormat="1" applyFont="1" applyFill="1" applyBorder="1" applyAlignment="1">
      <alignment horizontal="center" vertical="top" wrapText="1"/>
    </xf>
    <xf numFmtId="0" fontId="46" fillId="7" borderId="12" xfId="0" applyFont="1" applyFill="1" applyBorder="1" applyAlignment="1">
      <alignment horizontal="center" vertical="center" wrapText="1"/>
    </xf>
    <xf numFmtId="41" fontId="32" fillId="19" borderId="6" xfId="0" applyNumberFormat="1" applyFont="1" applyFill="1" applyBorder="1" applyAlignment="1">
      <alignment horizontal="center"/>
    </xf>
    <xf numFmtId="0" fontId="48" fillId="18" borderId="131" xfId="0" applyFont="1" applyFill="1" applyBorder="1" applyAlignment="1">
      <alignment horizontal="center" vertical="center" wrapText="1"/>
    </xf>
    <xf numFmtId="0" fontId="48" fillId="18" borderId="132" xfId="0" applyFont="1" applyFill="1" applyBorder="1" applyAlignment="1">
      <alignment horizontal="center" vertical="center" wrapText="1"/>
    </xf>
    <xf numFmtId="171" fontId="48" fillId="18" borderId="132" xfId="0" applyNumberFormat="1" applyFont="1" applyFill="1" applyBorder="1" applyAlignment="1">
      <alignment horizontal="center" vertical="center" wrapText="1"/>
    </xf>
    <xf numFmtId="41" fontId="48" fillId="18" borderId="132" xfId="0" applyNumberFormat="1" applyFont="1" applyFill="1" applyBorder="1" applyAlignment="1">
      <alignment horizontal="center" vertical="center" wrapText="1"/>
    </xf>
    <xf numFmtId="0" fontId="41" fillId="18" borderId="132" xfId="0" applyFont="1" applyFill="1" applyBorder="1" applyAlignment="1">
      <alignment horizontal="center" vertical="center" wrapText="1"/>
    </xf>
    <xf numFmtId="0" fontId="41" fillId="18" borderId="133" xfId="0" applyFont="1" applyFill="1" applyBorder="1" applyAlignment="1">
      <alignment horizontal="center" vertical="center" wrapText="1"/>
    </xf>
    <xf numFmtId="3" fontId="45" fillId="7" borderId="29" xfId="0" applyNumberFormat="1" applyFont="1" applyFill="1" applyBorder="1"/>
    <xf numFmtId="4" fontId="46" fillId="9" borderId="0" xfId="0" applyNumberFormat="1" applyFont="1" applyFill="1" applyAlignment="1">
      <alignment horizontal="center" vertical="center" wrapText="1"/>
    </xf>
    <xf numFmtId="4" fontId="46" fillId="7" borderId="12" xfId="0" applyNumberFormat="1" applyFont="1" applyFill="1" applyBorder="1" applyAlignment="1">
      <alignment horizontal="center" vertical="center" wrapText="1"/>
    </xf>
    <xf numFmtId="4" fontId="45" fillId="5" borderId="6" xfId="0" applyNumberFormat="1" applyFont="1" applyFill="1" applyBorder="1" applyAlignment="1">
      <alignment horizontal="center"/>
    </xf>
    <xf numFmtId="171" fontId="32" fillId="2" borderId="6" xfId="0" applyNumberFormat="1" applyFont="1" applyFill="1" applyBorder="1" applyAlignment="1">
      <alignment horizontal="center"/>
    </xf>
    <xf numFmtId="0" fontId="32" fillId="12" borderId="128" xfId="0" applyFont="1" applyFill="1" applyBorder="1"/>
    <xf numFmtId="0" fontId="32" fillId="12" borderId="129" xfId="0" applyFont="1" applyFill="1" applyBorder="1"/>
    <xf numFmtId="0" fontId="32" fillId="12" borderId="182" xfId="0" applyFont="1" applyFill="1" applyBorder="1"/>
    <xf numFmtId="10" fontId="32" fillId="2" borderId="37" xfId="0" applyNumberFormat="1" applyFont="1" applyFill="1" applyBorder="1"/>
    <xf numFmtId="0" fontId="32" fillId="2" borderId="183" xfId="0" applyFont="1" applyFill="1" applyBorder="1"/>
    <xf numFmtId="41" fontId="23" fillId="0" borderId="132" xfId="0" applyNumberFormat="1" applyFont="1" applyBorder="1"/>
    <xf numFmtId="0" fontId="23" fillId="0" borderId="184" xfId="0" applyFont="1" applyBorder="1"/>
    <xf numFmtId="0" fontId="50" fillId="2" borderId="42" xfId="0" applyFont="1" applyFill="1" applyBorder="1"/>
    <xf numFmtId="0" fontId="32" fillId="2" borderId="42" xfId="0" applyFont="1" applyFill="1" applyBorder="1" applyAlignment="1">
      <alignment horizontal="center"/>
    </xf>
    <xf numFmtId="41" fontId="32" fillId="2" borderId="42" xfId="0" applyNumberFormat="1" applyFont="1" applyFill="1" applyBorder="1"/>
    <xf numFmtId="10" fontId="32" fillId="2" borderId="1" xfId="0" applyNumberFormat="1" applyFont="1" applyFill="1" applyBorder="1" applyAlignment="1">
      <alignment horizontal="center"/>
    </xf>
    <xf numFmtId="0" fontId="32" fillId="2" borderId="36" xfId="0" applyFont="1" applyFill="1" applyBorder="1" applyAlignment="1">
      <alignment horizontal="center"/>
    </xf>
    <xf numFmtId="41" fontId="32" fillId="2" borderId="36" xfId="0" applyNumberFormat="1" applyFont="1" applyFill="1" applyBorder="1" applyAlignment="1">
      <alignment horizontal="center"/>
    </xf>
    <xf numFmtId="0" fontId="48" fillId="21" borderId="144" xfId="0" applyFont="1" applyFill="1" applyBorder="1" applyAlignment="1">
      <alignment horizontal="center"/>
    </xf>
    <xf numFmtId="0" fontId="47" fillId="0" borderId="145" xfId="0" applyFont="1" applyBorder="1" applyAlignment="1">
      <alignment horizontal="left" vertical="center"/>
    </xf>
    <xf numFmtId="3" fontId="47" fillId="0" borderId="143" xfId="0" applyNumberFormat="1" applyFont="1" applyBorder="1" applyAlignment="1">
      <alignment horizontal="center" vertical="center"/>
    </xf>
    <xf numFmtId="9" fontId="47" fillId="0" borderId="143" xfId="0" applyNumberFormat="1" applyFont="1" applyBorder="1" applyAlignment="1">
      <alignment horizontal="center" vertical="center"/>
    </xf>
    <xf numFmtId="167" fontId="47" fillId="0" borderId="143" xfId="0" applyNumberFormat="1" applyFont="1" applyBorder="1" applyAlignment="1">
      <alignment horizontal="center"/>
    </xf>
    <xf numFmtId="3" fontId="47" fillId="0" borderId="143" xfId="0" applyNumberFormat="1" applyFont="1" applyBorder="1" applyAlignment="1">
      <alignment horizontal="left"/>
    </xf>
    <xf numFmtId="3" fontId="47" fillId="0" borderId="188" xfId="0" applyNumberFormat="1" applyFont="1" applyBorder="1" applyAlignment="1">
      <alignment horizontal="center"/>
    </xf>
    <xf numFmtId="3" fontId="13" fillId="0" borderId="143" xfId="0" applyNumberFormat="1" applyFont="1" applyBorder="1" applyAlignment="1">
      <alignment horizontal="center"/>
    </xf>
    <xf numFmtId="3" fontId="13" fillId="9" borderId="143" xfId="0" applyNumberFormat="1" applyFont="1" applyFill="1" applyBorder="1" applyAlignment="1">
      <alignment horizontal="center"/>
    </xf>
    <xf numFmtId="0" fontId="47" fillId="0" borderId="146" xfId="0" applyFont="1" applyBorder="1"/>
    <xf numFmtId="4" fontId="47" fillId="0" borderId="147" xfId="0" applyNumberFormat="1" applyFont="1" applyBorder="1" applyAlignment="1">
      <alignment horizontal="center"/>
    </xf>
    <xf numFmtId="9" fontId="47" fillId="0" borderId="147" xfId="0" applyNumberFormat="1" applyFont="1" applyBorder="1" applyAlignment="1">
      <alignment horizontal="center"/>
    </xf>
    <xf numFmtId="0" fontId="32" fillId="2" borderId="41" xfId="0" applyFont="1" applyFill="1" applyBorder="1" applyAlignment="1">
      <alignment horizontal="center"/>
    </xf>
    <xf numFmtId="41" fontId="32" fillId="2" borderId="1" xfId="0" applyNumberFormat="1" applyFont="1" applyFill="1" applyBorder="1" applyAlignment="1">
      <alignment horizontal="right"/>
    </xf>
    <xf numFmtId="3" fontId="23" fillId="10" borderId="0" xfId="0" applyNumberFormat="1" applyFont="1" applyFill="1"/>
    <xf numFmtId="9" fontId="23" fillId="10" borderId="0" xfId="0" applyNumberFormat="1" applyFont="1" applyFill="1"/>
    <xf numFmtId="0" fontId="23" fillId="10" borderId="0" xfId="0" applyFont="1" applyFill="1"/>
    <xf numFmtId="0" fontId="48" fillId="21" borderId="61" xfId="0" applyFont="1" applyFill="1" applyBorder="1"/>
    <xf numFmtId="3" fontId="23" fillId="0" borderId="0" xfId="0" applyNumberFormat="1" applyFont="1"/>
    <xf numFmtId="9" fontId="23" fillId="0" borderId="0" xfId="0" applyNumberFormat="1" applyFont="1"/>
    <xf numFmtId="41" fontId="32" fillId="2" borderId="41" xfId="0" applyNumberFormat="1" applyFont="1" applyFill="1" applyBorder="1" applyAlignment="1">
      <alignment horizontal="right"/>
    </xf>
    <xf numFmtId="2" fontId="23" fillId="0" borderId="0" xfId="0" applyNumberFormat="1" applyFont="1"/>
    <xf numFmtId="2" fontId="32" fillId="2" borderId="6" xfId="0" applyNumberFormat="1" applyFont="1" applyFill="1" applyBorder="1"/>
    <xf numFmtId="2" fontId="3" fillId="2" borderId="6" xfId="0" applyNumberFormat="1" applyFont="1" applyFill="1" applyBorder="1" applyAlignment="1">
      <alignment horizontal="center"/>
    </xf>
    <xf numFmtId="41" fontId="32" fillId="2" borderId="41" xfId="0" applyNumberFormat="1" applyFont="1" applyFill="1" applyBorder="1" applyAlignment="1">
      <alignment horizontal="center"/>
    </xf>
    <xf numFmtId="0" fontId="4" fillId="0" borderId="0" xfId="0" applyFont="1" applyAlignment="1">
      <alignment horizontal="center"/>
    </xf>
    <xf numFmtId="42" fontId="4" fillId="16" borderId="1" xfId="0" applyNumberFormat="1" applyFont="1" applyFill="1" applyBorder="1" applyAlignment="1">
      <alignment horizontal="center" vertical="center" wrapText="1"/>
    </xf>
    <xf numFmtId="3" fontId="4" fillId="16" borderId="1" xfId="0" applyNumberFormat="1" applyFont="1" applyFill="1" applyBorder="1" applyAlignment="1">
      <alignment vertical="center" wrapText="1"/>
    </xf>
    <xf numFmtId="0" fontId="4" fillId="16" borderId="0" xfId="0" applyFont="1" applyFill="1" applyAlignment="1">
      <alignment vertical="center" wrapText="1"/>
    </xf>
    <xf numFmtId="42" fontId="32" fillId="2" borderId="1" xfId="0" applyNumberFormat="1" applyFont="1" applyFill="1" applyBorder="1" applyAlignment="1">
      <alignment horizontal="center"/>
    </xf>
    <xf numFmtId="0" fontId="32" fillId="2" borderId="0" xfId="0" applyFont="1" applyFill="1"/>
    <xf numFmtId="42" fontId="42" fillId="2" borderId="1" xfId="0" applyNumberFormat="1" applyFont="1" applyFill="1" applyBorder="1" applyAlignment="1">
      <alignment horizontal="center" vertical="top" wrapText="1"/>
    </xf>
    <xf numFmtId="0" fontId="51" fillId="2" borderId="1" xfId="0" applyFont="1" applyFill="1" applyBorder="1"/>
    <xf numFmtId="0" fontId="43" fillId="5" borderId="1" xfId="0" applyFont="1" applyFill="1" applyBorder="1" applyAlignment="1">
      <alignment horizontal="center" vertical="top" wrapText="1"/>
    </xf>
    <xf numFmtId="42" fontId="42" fillId="5" borderId="1" xfId="0" applyNumberFormat="1" applyFont="1" applyFill="1" applyBorder="1" applyAlignment="1">
      <alignment horizontal="center" vertical="top" wrapText="1"/>
    </xf>
    <xf numFmtId="3" fontId="32" fillId="5" borderId="1" xfId="0" applyNumberFormat="1" applyFont="1" applyFill="1" applyBorder="1"/>
    <xf numFmtId="0" fontId="32" fillId="0" borderId="0" xfId="0" applyFont="1"/>
    <xf numFmtId="42" fontId="32" fillId="2" borderId="1" xfId="0" applyNumberFormat="1" applyFont="1" applyFill="1" applyBorder="1"/>
    <xf numFmtId="0" fontId="42" fillId="2" borderId="36" xfId="0" applyFont="1" applyFill="1" applyBorder="1" applyAlignment="1">
      <alignment horizontal="center" vertical="top" wrapText="1"/>
    </xf>
    <xf numFmtId="0" fontId="42" fillId="2" borderId="36" xfId="0" applyFont="1" applyFill="1" applyBorder="1" applyAlignment="1">
      <alignment horizontal="left" vertical="top" wrapText="1"/>
    </xf>
    <xf numFmtId="42" fontId="42" fillId="2" borderId="36" xfId="0" applyNumberFormat="1" applyFont="1" applyFill="1" applyBorder="1" applyAlignment="1">
      <alignment horizontal="center" vertical="top" wrapText="1"/>
    </xf>
    <xf numFmtId="171" fontId="32" fillId="2" borderId="1" xfId="0" applyNumberFormat="1" applyFont="1" applyFill="1" applyBorder="1"/>
    <xf numFmtId="2" fontId="32" fillId="2" borderId="36" xfId="0" applyNumberFormat="1" applyFont="1" applyFill="1" applyBorder="1"/>
    <xf numFmtId="0" fontId="45" fillId="5" borderId="32" xfId="0" applyFont="1" applyFill="1" applyBorder="1"/>
    <xf numFmtId="0" fontId="45" fillId="5" borderId="32" xfId="0" applyFont="1" applyFill="1" applyBorder="1" applyAlignment="1">
      <alignment horizontal="center"/>
    </xf>
    <xf numFmtId="0" fontId="45" fillId="5" borderId="190" xfId="0" applyFont="1" applyFill="1" applyBorder="1"/>
    <xf numFmtId="0" fontId="45" fillId="5" borderId="190" xfId="0" applyFont="1" applyFill="1" applyBorder="1" applyAlignment="1">
      <alignment horizontal="center"/>
    </xf>
    <xf numFmtId="0" fontId="32" fillId="22" borderId="32" xfId="0" applyFont="1" applyFill="1" applyBorder="1"/>
    <xf numFmtId="42" fontId="32" fillId="0" borderId="32" xfId="0" applyNumberFormat="1" applyFont="1" applyBorder="1"/>
    <xf numFmtId="3" fontId="32" fillId="23" borderId="32" xfId="0" applyNumberFormat="1" applyFont="1" applyFill="1" applyBorder="1" applyAlignment="1">
      <alignment horizontal="center"/>
    </xf>
    <xf numFmtId="0" fontId="32" fillId="0" borderId="32" xfId="0" applyFont="1" applyBorder="1"/>
    <xf numFmtId="10" fontId="32" fillId="0" borderId="32" xfId="0" applyNumberFormat="1" applyFont="1" applyBorder="1"/>
    <xf numFmtId="3" fontId="32" fillId="0" borderId="32" xfId="0" applyNumberFormat="1" applyFont="1" applyBorder="1"/>
    <xf numFmtId="9" fontId="32" fillId="0" borderId="32" xfId="0" applyNumberFormat="1" applyFont="1" applyBorder="1"/>
    <xf numFmtId="3" fontId="32" fillId="4" borderId="32" xfId="0" applyNumberFormat="1" applyFont="1" applyFill="1" applyBorder="1"/>
    <xf numFmtId="3" fontId="45" fillId="0" borderId="32" xfId="0" applyNumberFormat="1" applyFont="1" applyBorder="1"/>
    <xf numFmtId="0" fontId="45" fillId="22" borderId="32" xfId="0" applyFont="1" applyFill="1" applyBorder="1"/>
    <xf numFmtId="175" fontId="10" fillId="22" borderId="32" xfId="0" applyNumberFormat="1" applyFont="1" applyFill="1" applyBorder="1"/>
    <xf numFmtId="175" fontId="10" fillId="22" borderId="32" xfId="0" applyNumberFormat="1" applyFont="1" applyFill="1" applyBorder="1" applyAlignment="1">
      <alignment horizontal="center"/>
    </xf>
    <xf numFmtId="0" fontId="45" fillId="22" borderId="191" xfId="0" applyFont="1" applyFill="1" applyBorder="1"/>
    <xf numFmtId="10" fontId="45" fillId="22" borderId="191" xfId="0" applyNumberFormat="1" applyFont="1" applyFill="1" applyBorder="1"/>
    <xf numFmtId="42" fontId="4" fillId="2" borderId="42" xfId="0" applyNumberFormat="1" applyFont="1" applyFill="1" applyBorder="1"/>
    <xf numFmtId="175" fontId="32" fillId="0" borderId="0" xfId="0" applyNumberFormat="1" applyFont="1"/>
    <xf numFmtId="0" fontId="32" fillId="0" borderId="0" xfId="0" applyFont="1" applyAlignment="1">
      <alignment horizontal="center"/>
    </xf>
    <xf numFmtId="175" fontId="10" fillId="10" borderId="32" xfId="0" applyNumberFormat="1" applyFont="1" applyFill="1" applyBorder="1" applyAlignment="1">
      <alignment horizontal="center"/>
    </xf>
    <xf numFmtId="3" fontId="45" fillId="22" borderId="191" xfId="0" applyNumberFormat="1" applyFont="1" applyFill="1" applyBorder="1"/>
    <xf numFmtId="176" fontId="32" fillId="2" borderId="0" xfId="0" applyNumberFormat="1" applyFont="1" applyFill="1"/>
    <xf numFmtId="175" fontId="32" fillId="2" borderId="1" xfId="0" applyNumberFormat="1" applyFont="1" applyFill="1" applyBorder="1"/>
    <xf numFmtId="0" fontId="48" fillId="21" borderId="166" xfId="0" applyFont="1" applyFill="1" applyBorder="1" applyAlignment="1">
      <alignment horizontal="center"/>
    </xf>
    <xf numFmtId="0" fontId="48" fillId="21" borderId="192" xfId="0" applyFont="1" applyFill="1" applyBorder="1"/>
    <xf numFmtId="0" fontId="48" fillId="21" borderId="193" xfId="0" applyFont="1" applyFill="1" applyBorder="1" applyAlignment="1">
      <alignment horizontal="center"/>
    </xf>
    <xf numFmtId="0" fontId="45" fillId="2" borderId="37" xfId="0" applyFont="1" applyFill="1" applyBorder="1"/>
    <xf numFmtId="0" fontId="32" fillId="0" borderId="194" xfId="0" applyFont="1" applyBorder="1"/>
    <xf numFmtId="42" fontId="32" fillId="0" borderId="195" xfId="0" applyNumberFormat="1" applyFont="1" applyBorder="1"/>
    <xf numFmtId="175" fontId="32" fillId="5" borderId="195" xfId="0" applyNumberFormat="1" applyFont="1" applyFill="1" applyBorder="1" applyAlignment="1">
      <alignment horizontal="center"/>
    </xf>
    <xf numFmtId="10" fontId="32" fillId="2" borderId="196" xfId="0" applyNumberFormat="1" applyFont="1" applyFill="1" applyBorder="1"/>
    <xf numFmtId="3" fontId="32" fillId="9" borderId="0" xfId="0" applyNumberFormat="1" applyFont="1" applyFill="1" applyAlignment="1">
      <alignment horizontal="center"/>
    </xf>
    <xf numFmtId="0" fontId="32" fillId="9" borderId="0" xfId="0" applyFont="1" applyFill="1" applyAlignment="1">
      <alignment horizontal="center"/>
    </xf>
    <xf numFmtId="9" fontId="32" fillId="9" borderId="0" xfId="0" applyNumberFormat="1" applyFont="1" applyFill="1" applyAlignment="1">
      <alignment horizontal="center"/>
    </xf>
    <xf numFmtId="4" fontId="47" fillId="0" borderId="143" xfId="0" applyNumberFormat="1" applyFont="1" applyBorder="1" applyAlignment="1">
      <alignment horizontal="left"/>
    </xf>
    <xf numFmtId="4" fontId="13" fillId="0" borderId="144" xfId="0" applyNumberFormat="1" applyFont="1" applyBorder="1" applyAlignment="1">
      <alignment horizontal="left"/>
    </xf>
    <xf numFmtId="4" fontId="47" fillId="0" borderId="144" xfId="0" applyNumberFormat="1" applyFont="1" applyBorder="1" applyAlignment="1">
      <alignment horizontal="left"/>
    </xf>
    <xf numFmtId="0" fontId="45" fillId="2" borderId="94" xfId="0" applyFont="1" applyFill="1" applyBorder="1"/>
    <xf numFmtId="0" fontId="32" fillId="0" borderId="197" xfId="0" applyFont="1" applyBorder="1"/>
    <xf numFmtId="42" fontId="32" fillId="0" borderId="191" xfId="0" applyNumberFormat="1" applyFont="1" applyBorder="1"/>
    <xf numFmtId="175" fontId="32" fillId="5" borderId="191" xfId="0" applyNumberFormat="1" applyFont="1" applyFill="1" applyBorder="1" applyAlignment="1">
      <alignment horizontal="center"/>
    </xf>
    <xf numFmtId="10" fontId="32" fillId="2" borderId="47" xfId="0" applyNumberFormat="1" applyFont="1" applyFill="1" applyBorder="1"/>
    <xf numFmtId="4" fontId="13" fillId="0" borderId="143" xfId="0" applyNumberFormat="1" applyFont="1" applyBorder="1" applyAlignment="1">
      <alignment horizontal="left"/>
    </xf>
    <xf numFmtId="9" fontId="13" fillId="0" borderId="143" xfId="0" applyNumberFormat="1" applyFont="1" applyBorder="1" applyAlignment="1">
      <alignment horizontal="center"/>
    </xf>
    <xf numFmtId="0" fontId="32" fillId="0" borderId="198" xfId="0" applyFont="1" applyBorder="1"/>
    <xf numFmtId="42" fontId="32" fillId="0" borderId="199" xfId="0" applyNumberFormat="1" applyFont="1" applyBorder="1"/>
    <xf numFmtId="175" fontId="32" fillId="5" borderId="199" xfId="0" applyNumberFormat="1" applyFont="1" applyFill="1" applyBorder="1" applyAlignment="1">
      <alignment horizontal="center"/>
    </xf>
    <xf numFmtId="10" fontId="32" fillId="2" borderId="49" xfId="0" applyNumberFormat="1" applyFont="1" applyFill="1" applyBorder="1"/>
    <xf numFmtId="10" fontId="32" fillId="2" borderId="200" xfId="0" applyNumberFormat="1" applyFont="1" applyFill="1" applyBorder="1"/>
    <xf numFmtId="0" fontId="48" fillId="21" borderId="6" xfId="0" applyFont="1" applyFill="1" applyBorder="1"/>
    <xf numFmtId="10" fontId="32" fillId="2" borderId="48" xfId="0" applyNumberFormat="1" applyFont="1" applyFill="1" applyBorder="1"/>
    <xf numFmtId="0" fontId="45" fillId="0" borderId="201" xfId="0" applyFont="1" applyBorder="1"/>
    <xf numFmtId="42" fontId="45" fillId="0" borderId="202" xfId="0" applyNumberFormat="1" applyFont="1" applyBorder="1"/>
    <xf numFmtId="175" fontId="45" fillId="5" borderId="202" xfId="0" applyNumberFormat="1" applyFont="1" applyFill="1" applyBorder="1" applyAlignment="1">
      <alignment horizontal="center"/>
    </xf>
    <xf numFmtId="10" fontId="32" fillId="2" borderId="203" xfId="0" applyNumberFormat="1" applyFont="1" applyFill="1" applyBorder="1"/>
    <xf numFmtId="10" fontId="32" fillId="2" borderId="44" xfId="0" applyNumberFormat="1" applyFont="1" applyFill="1" applyBorder="1" applyAlignment="1">
      <alignment horizontal="center"/>
    </xf>
    <xf numFmtId="0" fontId="32" fillId="2" borderId="0" xfId="0" applyFont="1" applyFill="1" applyAlignment="1">
      <alignment horizontal="center"/>
    </xf>
    <xf numFmtId="3" fontId="32" fillId="2" borderId="36" xfId="0" applyNumberFormat="1" applyFont="1" applyFill="1" applyBorder="1"/>
    <xf numFmtId="3" fontId="32" fillId="2" borderId="37" xfId="0" applyNumberFormat="1" applyFont="1" applyFill="1" applyBorder="1"/>
    <xf numFmtId="1" fontId="13" fillId="15" borderId="6" xfId="0" applyNumberFormat="1" applyFont="1" applyFill="1" applyBorder="1"/>
    <xf numFmtId="0" fontId="13" fillId="15" borderId="6" xfId="0" applyFont="1" applyFill="1" applyBorder="1" applyAlignment="1">
      <alignment horizontal="center"/>
    </xf>
    <xf numFmtId="0" fontId="13" fillId="15" borderId="6" xfId="0" applyFont="1" applyFill="1" applyBorder="1"/>
    <xf numFmtId="0" fontId="47" fillId="15" borderId="6" xfId="0" applyFont="1" applyFill="1" applyBorder="1" applyAlignment="1">
      <alignment horizontal="center"/>
    </xf>
    <xf numFmtId="0" fontId="47" fillId="15" borderId="6" xfId="0" applyFont="1" applyFill="1" applyBorder="1"/>
    <xf numFmtId="3" fontId="53" fillId="0" borderId="0" xfId="0" applyNumberFormat="1" applyFont="1" applyAlignment="1">
      <alignment horizontal="center" vertical="center"/>
    </xf>
    <xf numFmtId="42" fontId="47" fillId="15" borderId="6" xfId="0" applyNumberFormat="1" applyFont="1" applyFill="1" applyBorder="1" applyAlignment="1">
      <alignment horizontal="center"/>
    </xf>
    <xf numFmtId="3" fontId="32" fillId="2" borderId="94" xfId="0" applyNumberFormat="1" applyFont="1" applyFill="1" applyBorder="1"/>
    <xf numFmtId="0" fontId="47" fillId="0" borderId="6" xfId="0" applyFont="1" applyBorder="1" applyAlignment="1">
      <alignment horizontal="left"/>
    </xf>
    <xf numFmtId="0" fontId="47" fillId="0" borderId="6" xfId="0" applyFont="1" applyBorder="1" applyAlignment="1">
      <alignment horizontal="center"/>
    </xf>
    <xf numFmtId="3" fontId="47" fillId="0" borderId="6" xfId="0" applyNumberFormat="1" applyFont="1" applyBorder="1"/>
    <xf numFmtId="9" fontId="47" fillId="0" borderId="6" xfId="0" applyNumberFormat="1" applyFont="1" applyBorder="1" applyAlignment="1">
      <alignment horizontal="center"/>
    </xf>
    <xf numFmtId="0" fontId="47" fillId="0" borderId="6" xfId="0" applyFont="1" applyBorder="1"/>
    <xf numFmtId="3" fontId="53" fillId="0" borderId="62" xfId="0" applyNumberFormat="1" applyFont="1" applyBorder="1" applyAlignment="1">
      <alignment horizontal="center" vertical="center"/>
    </xf>
    <xf numFmtId="0" fontId="47" fillId="0" borderId="6" xfId="0" applyFont="1" applyBorder="1" applyAlignment="1">
      <alignment horizontal="right"/>
    </xf>
    <xf numFmtId="177" fontId="47" fillId="0" borderId="6" xfId="0" applyNumberFormat="1" applyFont="1" applyBorder="1"/>
    <xf numFmtId="10" fontId="47" fillId="0" borderId="6" xfId="0" applyNumberFormat="1" applyFont="1" applyBorder="1" applyAlignment="1">
      <alignment horizontal="center"/>
    </xf>
    <xf numFmtId="42" fontId="47" fillId="0" borderId="6" xfId="0" applyNumberFormat="1" applyFont="1" applyBorder="1" applyAlignment="1">
      <alignment horizontal="center"/>
    </xf>
    <xf numFmtId="0" fontId="45" fillId="2" borderId="6" xfId="0" applyFont="1" applyFill="1" applyBorder="1"/>
    <xf numFmtId="177" fontId="45" fillId="2" borderId="6" xfId="0" applyNumberFormat="1" applyFont="1" applyFill="1" applyBorder="1"/>
    <xf numFmtId="10" fontId="45" fillId="2" borderId="6" xfId="0" applyNumberFormat="1" applyFont="1" applyFill="1" applyBorder="1"/>
    <xf numFmtId="0" fontId="45" fillId="2" borderId="6" xfId="0" applyFont="1" applyFill="1" applyBorder="1" applyAlignment="1">
      <alignment horizontal="center"/>
    </xf>
    <xf numFmtId="0" fontId="22" fillId="0" borderId="6" xfId="0" applyFont="1" applyBorder="1" applyAlignment="1">
      <alignment wrapText="1"/>
    </xf>
    <xf numFmtId="177" fontId="32" fillId="2" borderId="6" xfId="0" applyNumberFormat="1" applyFont="1" applyFill="1" applyBorder="1"/>
    <xf numFmtId="10" fontId="32" fillId="2" borderId="6" xfId="0" applyNumberFormat="1" applyFont="1" applyFill="1" applyBorder="1"/>
    <xf numFmtId="0" fontId="32" fillId="0" borderId="6" xfId="0" applyFont="1" applyBorder="1" applyAlignment="1">
      <alignment wrapText="1"/>
    </xf>
    <xf numFmtId="3" fontId="47" fillId="0" borderId="6" xfId="0" applyNumberFormat="1" applyFont="1" applyBorder="1" applyAlignment="1">
      <alignment horizontal="center"/>
    </xf>
    <xf numFmtId="0" fontId="13" fillId="0" borderId="6" xfId="0" applyFont="1" applyBorder="1" applyAlignment="1">
      <alignment horizontal="left"/>
    </xf>
    <xf numFmtId="3" fontId="13" fillId="0" borderId="6" xfId="0" applyNumberFormat="1" applyFont="1" applyBorder="1" applyAlignment="1">
      <alignment horizontal="right"/>
    </xf>
    <xf numFmtId="177" fontId="13" fillId="0" borderId="6" xfId="0" applyNumberFormat="1" applyFont="1" applyBorder="1"/>
    <xf numFmtId="10" fontId="13" fillId="0" borderId="6" xfId="0" applyNumberFormat="1" applyFont="1" applyBorder="1" applyAlignment="1">
      <alignment horizontal="center"/>
    </xf>
    <xf numFmtId="42" fontId="13" fillId="0" borderId="6" xfId="0" applyNumberFormat="1" applyFont="1" applyBorder="1" applyAlignment="1">
      <alignment horizontal="center"/>
    </xf>
    <xf numFmtId="0" fontId="13" fillId="0" borderId="6" xfId="0" applyFont="1" applyBorder="1"/>
    <xf numFmtId="3" fontId="45" fillId="2" borderId="94" xfId="0" applyNumberFormat="1" applyFont="1" applyFill="1" applyBorder="1"/>
    <xf numFmtId="0" fontId="32" fillId="0" borderId="12" xfId="0" applyFont="1" applyBorder="1" applyAlignment="1">
      <alignment wrapText="1"/>
    </xf>
    <xf numFmtId="0" fontId="47" fillId="0" borderId="30" xfId="0" applyFont="1" applyBorder="1"/>
    <xf numFmtId="3" fontId="32" fillId="2" borderId="41" xfId="0" applyNumberFormat="1" applyFont="1" applyFill="1" applyBorder="1"/>
    <xf numFmtId="177" fontId="32" fillId="2" borderId="42" xfId="0" applyNumberFormat="1" applyFont="1" applyFill="1" applyBorder="1"/>
    <xf numFmtId="10" fontId="32" fillId="2" borderId="42" xfId="0" applyNumberFormat="1" applyFont="1" applyFill="1" applyBorder="1"/>
    <xf numFmtId="9" fontId="32" fillId="2" borderId="36" xfId="0" applyNumberFormat="1" applyFont="1" applyFill="1" applyBorder="1"/>
    <xf numFmtId="0" fontId="13" fillId="24" borderId="6" xfId="0" applyFont="1" applyFill="1" applyBorder="1" applyAlignment="1">
      <alignment horizontal="left"/>
    </xf>
    <xf numFmtId="177" fontId="32" fillId="2" borderId="36" xfId="0" applyNumberFormat="1" applyFont="1" applyFill="1" applyBorder="1"/>
    <xf numFmtId="10" fontId="32" fillId="2" borderId="36" xfId="0" applyNumberFormat="1" applyFont="1" applyFill="1" applyBorder="1"/>
    <xf numFmtId="178" fontId="45" fillId="2" borderId="36" xfId="0" applyNumberFormat="1" applyFont="1" applyFill="1" applyBorder="1"/>
    <xf numFmtId="3" fontId="43" fillId="15" borderId="6" xfId="0" applyNumberFormat="1" applyFont="1" applyFill="1" applyBorder="1" applyAlignment="1">
      <alignment horizontal="center"/>
    </xf>
    <xf numFmtId="42" fontId="52" fillId="15" borderId="106" xfId="0" applyNumberFormat="1" applyFont="1" applyFill="1" applyBorder="1" applyAlignment="1">
      <alignment horizontal="center" vertical="center" wrapText="1"/>
    </xf>
    <xf numFmtId="3" fontId="52" fillId="15" borderId="204" xfId="0" applyNumberFormat="1" applyFont="1" applyFill="1" applyBorder="1" applyAlignment="1">
      <alignment horizontal="center" vertical="center" wrapText="1"/>
    </xf>
    <xf numFmtId="0" fontId="42" fillId="2" borderId="41" xfId="0" applyFont="1" applyFill="1" applyBorder="1"/>
    <xf numFmtId="177" fontId="43" fillId="15" borderId="100" xfId="0" applyNumberFormat="1" applyFont="1" applyFill="1" applyBorder="1" applyAlignment="1">
      <alignment horizontal="center"/>
    </xf>
    <xf numFmtId="3" fontId="43" fillId="15" borderId="100" xfId="0" applyNumberFormat="1" applyFont="1" applyFill="1" applyBorder="1" applyAlignment="1">
      <alignment horizontal="center"/>
    </xf>
    <xf numFmtId="0" fontId="42" fillId="2" borderId="37" xfId="0" applyFont="1" applyFill="1" applyBorder="1"/>
    <xf numFmtId="177" fontId="43" fillId="15" borderId="6" xfId="0" applyNumberFormat="1" applyFont="1" applyFill="1" applyBorder="1" applyAlignment="1">
      <alignment horizontal="center"/>
    </xf>
    <xf numFmtId="3" fontId="43" fillId="15" borderId="0" xfId="0" applyNumberFormat="1" applyFont="1" applyFill="1" applyAlignment="1">
      <alignment horizontal="left"/>
    </xf>
    <xf numFmtId="0" fontId="4" fillId="15" borderId="12" xfId="0" applyFont="1" applyFill="1" applyBorder="1" applyAlignment="1">
      <alignment horizontal="center" vertical="center" wrapText="1"/>
    </xf>
    <xf numFmtId="42" fontId="4" fillId="15" borderId="12" xfId="0" applyNumberFormat="1" applyFont="1" applyFill="1" applyBorder="1" applyAlignment="1">
      <alignment horizontal="center" vertical="center" wrapText="1"/>
    </xf>
    <xf numFmtId="3" fontId="45" fillId="5" borderId="12" xfId="0" applyNumberFormat="1" applyFont="1" applyFill="1" applyBorder="1" applyAlignment="1">
      <alignment horizontal="center"/>
    </xf>
    <xf numFmtId="42" fontId="4" fillId="15" borderId="6" xfId="0" applyNumberFormat="1" applyFont="1" applyFill="1" applyBorder="1" applyAlignment="1">
      <alignment horizontal="center" vertical="center" wrapText="1"/>
    </xf>
    <xf numFmtId="3" fontId="45" fillId="5" borderId="6" xfId="0" applyNumberFormat="1" applyFont="1" applyFill="1" applyBorder="1" applyAlignment="1">
      <alignment horizontal="right"/>
    </xf>
    <xf numFmtId="3" fontId="45" fillId="5" borderId="0" xfId="0" applyNumberFormat="1" applyFont="1" applyFill="1" applyAlignment="1">
      <alignment horizontal="right"/>
    </xf>
    <xf numFmtId="1" fontId="53" fillId="0" borderId="6" xfId="0" applyNumberFormat="1" applyFont="1" applyBorder="1"/>
    <xf numFmtId="0" fontId="53" fillId="0" borderId="6" xfId="0" applyFont="1" applyBorder="1"/>
    <xf numFmtId="0" fontId="32" fillId="0" borderId="6" xfId="0" applyFont="1" applyBorder="1"/>
    <xf numFmtId="0" fontId="53" fillId="0" borderId="6" xfId="0" applyFont="1" applyBorder="1" applyAlignment="1">
      <alignment horizontal="center"/>
    </xf>
    <xf numFmtId="41" fontId="53" fillId="0" borderId="6" xfId="0" applyNumberFormat="1" applyFont="1" applyBorder="1"/>
    <xf numFmtId="174" fontId="53" fillId="0" borderId="6" xfId="0" applyNumberFormat="1" applyFont="1" applyBorder="1"/>
    <xf numFmtId="3" fontId="32" fillId="0" borderId="6" xfId="0" applyNumberFormat="1" applyFont="1" applyBorder="1"/>
    <xf numFmtId="0" fontId="39" fillId="0" borderId="6" xfId="0" applyFont="1" applyBorder="1" applyAlignment="1">
      <alignment horizontal="right"/>
    </xf>
    <xf numFmtId="0" fontId="39" fillId="0" borderId="6" xfId="0" applyFont="1" applyBorder="1"/>
    <xf numFmtId="42" fontId="39" fillId="0" borderId="6" xfId="0" applyNumberFormat="1" applyFont="1" applyBorder="1" applyAlignment="1">
      <alignment horizontal="center"/>
    </xf>
    <xf numFmtId="177" fontId="32" fillId="2" borderId="6" xfId="0" applyNumberFormat="1" applyFont="1" applyFill="1" applyBorder="1" applyAlignment="1">
      <alignment horizontal="right"/>
    </xf>
    <xf numFmtId="178" fontId="32" fillId="2" borderId="6" xfId="0" applyNumberFormat="1" applyFont="1" applyFill="1" applyBorder="1" applyAlignment="1">
      <alignment horizontal="right"/>
    </xf>
    <xf numFmtId="3" fontId="32" fillId="2" borderId="6" xfId="0" applyNumberFormat="1" applyFont="1" applyFill="1" applyBorder="1" applyAlignment="1">
      <alignment horizontal="right"/>
    </xf>
    <xf numFmtId="0" fontId="39" fillId="0" borderId="6" xfId="0" applyFont="1" applyBorder="1" applyAlignment="1">
      <alignment horizontal="center"/>
    </xf>
    <xf numFmtId="0" fontId="23" fillId="0" borderId="6" xfId="0" applyFont="1" applyBorder="1"/>
    <xf numFmtId="0" fontId="32" fillId="25" borderId="37" xfId="0" applyFont="1" applyFill="1" applyBorder="1"/>
    <xf numFmtId="0" fontId="23" fillId="25" borderId="6" xfId="0" applyFont="1" applyFill="1" applyBorder="1"/>
    <xf numFmtId="3" fontId="32" fillId="25" borderId="6" xfId="0" applyNumberFormat="1" applyFont="1" applyFill="1" applyBorder="1"/>
    <xf numFmtId="0" fontId="32" fillId="25" borderId="6" xfId="0" applyFont="1" applyFill="1" applyBorder="1"/>
    <xf numFmtId="0" fontId="32" fillId="25" borderId="0" xfId="0" applyFont="1" applyFill="1"/>
    <xf numFmtId="0" fontId="42" fillId="25" borderId="0" xfId="0" applyFont="1" applyFill="1"/>
    <xf numFmtId="0" fontId="32" fillId="4" borderId="37" xfId="0" applyFont="1" applyFill="1" applyBorder="1"/>
    <xf numFmtId="0" fontId="23" fillId="4" borderId="6" xfId="0" applyFont="1" applyFill="1" applyBorder="1"/>
    <xf numFmtId="3" fontId="32" fillId="4" borderId="6" xfId="0" applyNumberFormat="1" applyFont="1" applyFill="1" applyBorder="1"/>
    <xf numFmtId="0" fontId="32" fillId="4" borderId="6" xfId="0" applyFont="1" applyFill="1" applyBorder="1"/>
    <xf numFmtId="0" fontId="42" fillId="4" borderId="0" xfId="0" applyFont="1" applyFill="1"/>
    <xf numFmtId="0" fontId="32" fillId="4" borderId="0" xfId="0" applyFont="1" applyFill="1"/>
    <xf numFmtId="41" fontId="54" fillId="15" borderId="0" xfId="0" applyNumberFormat="1" applyFont="1" applyFill="1"/>
    <xf numFmtId="174" fontId="54" fillId="15" borderId="0" xfId="0" applyNumberFormat="1" applyFont="1" applyFill="1"/>
    <xf numFmtId="3" fontId="54" fillId="15" borderId="0" xfId="0" applyNumberFormat="1" applyFont="1" applyFill="1"/>
    <xf numFmtId="177" fontId="54" fillId="15" borderId="0" xfId="0" applyNumberFormat="1" applyFont="1" applyFill="1"/>
    <xf numFmtId="178" fontId="54" fillId="15" borderId="0" xfId="0" applyNumberFormat="1" applyFont="1" applyFill="1"/>
    <xf numFmtId="0" fontId="32" fillId="9" borderId="37" xfId="0" applyFont="1" applyFill="1" applyBorder="1"/>
    <xf numFmtId="3" fontId="4" fillId="0" borderId="0" xfId="0" applyNumberFormat="1" applyFont="1"/>
    <xf numFmtId="0" fontId="55" fillId="0" borderId="12" xfId="0" applyFont="1" applyBorder="1" applyAlignment="1">
      <alignment horizontal="center" vertical="center"/>
    </xf>
    <xf numFmtId="0" fontId="56" fillId="0" borderId="184" xfId="0" applyFont="1" applyBorder="1" applyAlignment="1">
      <alignment vertical="center"/>
    </xf>
    <xf numFmtId="0" fontId="57" fillId="2" borderId="0" xfId="0" applyFont="1" applyFill="1" applyAlignment="1">
      <alignment vertical="center" wrapText="1"/>
    </xf>
    <xf numFmtId="0" fontId="57" fillId="2" borderId="0" xfId="0" applyFont="1" applyFill="1" applyAlignment="1">
      <alignment horizontal="left" wrapText="1"/>
    </xf>
    <xf numFmtId="17" fontId="57" fillId="2" borderId="0" xfId="0" applyNumberFormat="1" applyFont="1" applyFill="1" applyAlignment="1">
      <alignment horizontal="center" wrapText="1"/>
    </xf>
    <xf numFmtId="0" fontId="4" fillId="15" borderId="131" xfId="0" applyFont="1" applyFill="1" applyBorder="1" applyAlignment="1">
      <alignment horizontal="center" vertical="center" wrapText="1"/>
    </xf>
    <xf numFmtId="0" fontId="4" fillId="15" borderId="205" xfId="0" applyFont="1" applyFill="1" applyBorder="1" applyAlignment="1">
      <alignment horizontal="left" vertical="center" wrapText="1"/>
    </xf>
    <xf numFmtId="0" fontId="4" fillId="15" borderId="206" xfId="0" applyFont="1" applyFill="1" applyBorder="1" applyAlignment="1">
      <alignment horizontal="left" vertical="center" wrapText="1"/>
    </xf>
    <xf numFmtId="0" fontId="4" fillId="15" borderId="184" xfId="0" applyFont="1" applyFill="1" applyBorder="1" applyAlignment="1">
      <alignment horizontal="left" vertical="center" wrapText="1"/>
    </xf>
    <xf numFmtId="0" fontId="4" fillId="15" borderId="12" xfId="0" applyFont="1" applyFill="1" applyBorder="1" applyAlignment="1">
      <alignment horizontal="left" vertical="center" wrapText="1"/>
    </xf>
    <xf numFmtId="0" fontId="45" fillId="5" borderId="12" xfId="0" applyFont="1" applyFill="1" applyBorder="1" applyAlignment="1">
      <alignment horizontal="center" vertical="center" wrapText="1"/>
    </xf>
    <xf numFmtId="0" fontId="45" fillId="5" borderId="12" xfId="0" applyFont="1" applyFill="1" applyBorder="1" applyAlignment="1">
      <alignment horizontal="center"/>
    </xf>
    <xf numFmtId="0" fontId="32" fillId="2" borderId="30" xfId="0" applyFont="1" applyFill="1" applyBorder="1" applyAlignment="1">
      <alignment horizontal="center" vertical="center"/>
    </xf>
    <xf numFmtId="0" fontId="32" fillId="2" borderId="207" xfId="0" applyFont="1" applyFill="1" applyBorder="1" applyAlignment="1">
      <alignment vertical="center"/>
    </xf>
    <xf numFmtId="10" fontId="58" fillId="0" borderId="208" xfId="0" applyNumberFormat="1" applyFont="1" applyBorder="1" applyAlignment="1">
      <alignment horizontal="center" vertical="center"/>
    </xf>
    <xf numFmtId="0" fontId="32" fillId="2" borderId="29" xfId="0" applyFont="1" applyFill="1" applyBorder="1" applyAlignment="1">
      <alignment vertical="center"/>
    </xf>
    <xf numFmtId="10" fontId="58" fillId="0" borderId="6" xfId="0" applyNumberFormat="1" applyFont="1" applyBorder="1" applyAlignment="1">
      <alignment horizontal="right"/>
    </xf>
    <xf numFmtId="4" fontId="58" fillId="0" borderId="6" xfId="0" applyNumberFormat="1" applyFont="1" applyBorder="1"/>
    <xf numFmtId="10" fontId="32" fillId="2" borderId="208" xfId="0" applyNumberFormat="1" applyFont="1" applyFill="1" applyBorder="1" applyAlignment="1">
      <alignment horizontal="center" vertical="center"/>
    </xf>
    <xf numFmtId="4" fontId="58" fillId="0" borderId="211" xfId="0" applyNumberFormat="1" applyFont="1" applyBorder="1"/>
    <xf numFmtId="4" fontId="32" fillId="2" borderId="6" xfId="0" applyNumberFormat="1" applyFont="1" applyFill="1" applyBorder="1" applyAlignment="1">
      <alignment vertical="center"/>
    </xf>
    <xf numFmtId="10" fontId="58" fillId="0" borderId="6" xfId="0" applyNumberFormat="1" applyFont="1" applyBorder="1" applyAlignment="1">
      <alignment horizontal="center" vertical="center"/>
    </xf>
    <xf numFmtId="0" fontId="32" fillId="2" borderId="6" xfId="0" applyFont="1" applyFill="1" applyBorder="1" applyAlignment="1">
      <alignment horizontal="center" vertical="center"/>
    </xf>
    <xf numFmtId="0" fontId="32" fillId="2" borderId="12" xfId="0" applyFont="1" applyFill="1" applyBorder="1" applyAlignment="1">
      <alignment vertical="center"/>
    </xf>
    <xf numFmtId="10" fontId="58" fillId="0" borderId="12" xfId="0" applyNumberFormat="1" applyFont="1" applyBorder="1" applyAlignment="1">
      <alignment horizontal="center" vertical="center"/>
    </xf>
    <xf numFmtId="0" fontId="58" fillId="0" borderId="6" xfId="0" applyFont="1" applyBorder="1" applyAlignment="1">
      <alignment horizontal="left"/>
    </xf>
    <xf numFmtId="10" fontId="57" fillId="2" borderId="0" xfId="0" applyNumberFormat="1" applyFont="1" applyFill="1" applyAlignment="1">
      <alignment horizontal="center" wrapText="1"/>
    </xf>
    <xf numFmtId="3" fontId="57" fillId="2" borderId="0" xfId="0" applyNumberFormat="1" applyFont="1" applyFill="1" applyAlignment="1">
      <alignment horizontal="center" wrapText="1"/>
    </xf>
    <xf numFmtId="0" fontId="32" fillId="2" borderId="6" xfId="0" applyFont="1" applyFill="1" applyBorder="1" applyAlignment="1">
      <alignment vertical="center"/>
    </xf>
    <xf numFmtId="10" fontId="32" fillId="2" borderId="6" xfId="0" applyNumberFormat="1" applyFont="1" applyFill="1" applyBorder="1" applyAlignment="1">
      <alignment horizontal="center" vertical="center"/>
    </xf>
    <xf numFmtId="10" fontId="32" fillId="2" borderId="6" xfId="0" applyNumberFormat="1" applyFont="1" applyFill="1" applyBorder="1" applyAlignment="1">
      <alignment vertical="center"/>
    </xf>
    <xf numFmtId="9" fontId="57" fillId="2" borderId="0" xfId="0" applyNumberFormat="1" applyFont="1" applyFill="1" applyAlignment="1">
      <alignment horizontal="center" wrapText="1"/>
    </xf>
    <xf numFmtId="0" fontId="4" fillId="15" borderId="128" xfId="0" applyFont="1" applyFill="1" applyBorder="1" applyAlignment="1">
      <alignment horizontal="center" vertical="center" wrapText="1"/>
    </xf>
    <xf numFmtId="10" fontId="32" fillId="4" borderId="6" xfId="0" applyNumberFormat="1" applyFont="1" applyFill="1" applyBorder="1"/>
    <xf numFmtId="4" fontId="47" fillId="0" borderId="143" xfId="0" applyNumberFormat="1" applyFont="1" applyBorder="1" applyAlignment="1">
      <alignment horizontal="left" vertical="center"/>
    </xf>
    <xf numFmtId="4" fontId="47" fillId="0" borderId="143" xfId="0" applyNumberFormat="1" applyFont="1" applyBorder="1" applyAlignment="1">
      <alignment horizontal="center" vertical="center"/>
    </xf>
    <xf numFmtId="4" fontId="47" fillId="0" borderId="144" xfId="0" applyNumberFormat="1" applyFont="1" applyBorder="1" applyAlignment="1">
      <alignment horizontal="left" vertical="center"/>
    </xf>
    <xf numFmtId="0" fontId="23" fillId="0" borderId="0" xfId="0" applyFont="1" applyAlignment="1">
      <alignment horizontal="center" vertical="center"/>
    </xf>
    <xf numFmtId="0" fontId="59" fillId="26" borderId="6" xfId="0" applyFont="1" applyFill="1" applyBorder="1"/>
    <xf numFmtId="0" fontId="59" fillId="26" borderId="6" xfId="0" applyFont="1" applyFill="1" applyBorder="1" applyAlignment="1">
      <alignment horizontal="left"/>
    </xf>
    <xf numFmtId="2" fontId="3" fillId="0" borderId="6" xfId="0" applyNumberFormat="1" applyFont="1" applyBorder="1" applyAlignment="1">
      <alignment horizontal="center"/>
    </xf>
    <xf numFmtId="0" fontId="3" fillId="9" borderId="6" xfId="0" applyFont="1" applyFill="1" applyBorder="1"/>
    <xf numFmtId="0" fontId="4" fillId="2" borderId="1" xfId="0" applyFont="1" applyFill="1" applyBorder="1" applyAlignment="1">
      <alignment vertical="center" wrapText="1"/>
    </xf>
    <xf numFmtId="0" fontId="42" fillId="17" borderId="1" xfId="0" applyFont="1" applyFill="1" applyBorder="1" applyAlignment="1">
      <alignment horizontal="center" vertical="top" wrapText="1"/>
    </xf>
    <xf numFmtId="0" fontId="32" fillId="27" borderId="1" xfId="0" applyFont="1" applyFill="1" applyBorder="1"/>
    <xf numFmtId="0" fontId="32" fillId="27" borderId="37" xfId="0" applyFont="1" applyFill="1" applyBorder="1"/>
    <xf numFmtId="9" fontId="32" fillId="2" borderId="1" xfId="0" applyNumberFormat="1" applyFont="1" applyFill="1" applyBorder="1"/>
    <xf numFmtId="0" fontId="43" fillId="2" borderId="1" xfId="0" applyFont="1" applyFill="1" applyBorder="1" applyAlignment="1">
      <alignment horizontal="center" vertical="top" wrapText="1"/>
    </xf>
    <xf numFmtId="0" fontId="43" fillId="2" borderId="1" xfId="0" applyFont="1" applyFill="1" applyBorder="1" applyAlignment="1">
      <alignment horizontal="left" vertical="top" wrapText="1"/>
    </xf>
    <xf numFmtId="0" fontId="42" fillId="2" borderId="1" xfId="0" applyFont="1" applyFill="1" applyBorder="1" applyAlignment="1">
      <alignment horizontal="left" vertical="top"/>
    </xf>
    <xf numFmtId="3" fontId="8" fillId="18" borderId="213" xfId="0" applyNumberFormat="1" applyFont="1" applyFill="1" applyBorder="1" applyAlignment="1">
      <alignment horizontal="center" vertical="center" wrapText="1"/>
    </xf>
    <xf numFmtId="41" fontId="8" fillId="18" borderId="213" xfId="0" applyNumberFormat="1" applyFont="1" applyFill="1" applyBorder="1" applyAlignment="1">
      <alignment horizontal="center" vertical="center" wrapText="1"/>
    </xf>
    <xf numFmtId="0" fontId="42" fillId="2" borderId="37" xfId="0" applyFont="1" applyFill="1" applyBorder="1" applyAlignment="1">
      <alignment horizontal="left" vertical="top" wrapText="1"/>
    </xf>
    <xf numFmtId="0" fontId="41" fillId="18" borderId="150" xfId="0" applyFont="1" applyFill="1" applyBorder="1" applyAlignment="1">
      <alignment horizontal="center" vertical="center" wrapText="1"/>
    </xf>
    <xf numFmtId="0" fontId="8" fillId="18" borderId="213" xfId="0" applyFont="1" applyFill="1" applyBorder="1" applyAlignment="1">
      <alignment horizontal="center" vertical="center" wrapText="1"/>
    </xf>
    <xf numFmtId="0" fontId="13" fillId="28" borderId="121" xfId="0" applyFont="1" applyFill="1" applyBorder="1" applyAlignment="1">
      <alignment horizontal="center"/>
    </xf>
    <xf numFmtId="0" fontId="45" fillId="28" borderId="121" xfId="0" applyFont="1" applyFill="1" applyBorder="1" applyAlignment="1">
      <alignment horizontal="center"/>
    </xf>
    <xf numFmtId="0" fontId="10" fillId="15" borderId="6" xfId="0" applyFont="1" applyFill="1" applyBorder="1" applyAlignment="1">
      <alignment horizontal="center" wrapText="1"/>
    </xf>
    <xf numFmtId="0" fontId="10" fillId="15" borderId="29" xfId="0" applyFont="1" applyFill="1" applyBorder="1" applyAlignment="1">
      <alignment horizontal="center" wrapText="1"/>
    </xf>
    <xf numFmtId="0" fontId="10" fillId="7" borderId="29" xfId="0" applyFont="1" applyFill="1" applyBorder="1" applyAlignment="1">
      <alignment horizontal="center" wrapText="1"/>
    </xf>
    <xf numFmtId="0" fontId="45" fillId="2" borderId="37" xfId="0" applyFont="1" applyFill="1" applyBorder="1" applyAlignment="1">
      <alignment horizontal="center"/>
    </xf>
    <xf numFmtId="175" fontId="13" fillId="28" borderId="121" xfId="0" applyNumberFormat="1" applyFont="1" applyFill="1" applyBorder="1" applyAlignment="1">
      <alignment horizontal="center"/>
    </xf>
    <xf numFmtId="0" fontId="32" fillId="9" borderId="12" xfId="0" applyFont="1" applyFill="1" applyBorder="1" applyAlignment="1">
      <alignment horizontal="center"/>
    </xf>
    <xf numFmtId="0" fontId="32" fillId="9" borderId="12" xfId="0" applyFont="1" applyFill="1" applyBorder="1"/>
    <xf numFmtId="0" fontId="32" fillId="0" borderId="184" xfId="0" applyFont="1" applyBorder="1"/>
    <xf numFmtId="0" fontId="32" fillId="9" borderId="184" xfId="0" applyFont="1" applyFill="1" applyBorder="1"/>
    <xf numFmtId="41" fontId="32" fillId="9" borderId="184" xfId="0" applyNumberFormat="1" applyFont="1" applyFill="1" applyBorder="1"/>
    <xf numFmtId="3" fontId="35" fillId="0" borderId="184" xfId="0" applyNumberFormat="1" applyFont="1" applyBorder="1" applyAlignment="1">
      <alignment horizontal="right"/>
    </xf>
    <xf numFmtId="41" fontId="32" fillId="7" borderId="184" xfId="0" applyNumberFormat="1" applyFont="1" applyFill="1" applyBorder="1" applyAlignment="1">
      <alignment horizontal="center"/>
    </xf>
    <xf numFmtId="41" fontId="32" fillId="5" borderId="6" xfId="0" applyNumberFormat="1" applyFont="1" applyFill="1" applyBorder="1"/>
    <xf numFmtId="179" fontId="32" fillId="5" borderId="6" xfId="0" applyNumberFormat="1" applyFont="1" applyFill="1" applyBorder="1" applyAlignment="1">
      <alignment horizontal="right"/>
    </xf>
    <xf numFmtId="0" fontId="47" fillId="9" borderId="12" xfId="0" applyFont="1" applyFill="1" applyBorder="1"/>
    <xf numFmtId="0" fontId="32" fillId="2" borderId="12" xfId="0" applyFont="1" applyFill="1" applyBorder="1"/>
    <xf numFmtId="175" fontId="47" fillId="0" borderId="184" xfId="0" applyNumberFormat="1" applyFont="1" applyBorder="1"/>
    <xf numFmtId="175" fontId="32" fillId="2" borderId="12" xfId="0" applyNumberFormat="1" applyFont="1" applyFill="1" applyBorder="1"/>
    <xf numFmtId="0" fontId="32" fillId="2" borderId="121" xfId="0" applyFont="1" applyFill="1" applyBorder="1"/>
    <xf numFmtId="175" fontId="32" fillId="0" borderId="121" xfId="0" applyNumberFormat="1" applyFont="1" applyBorder="1"/>
    <xf numFmtId="175" fontId="47" fillId="9" borderId="121" xfId="0" applyNumberFormat="1" applyFont="1" applyFill="1" applyBorder="1"/>
    <xf numFmtId="9" fontId="32" fillId="2" borderId="6" xfId="0" applyNumberFormat="1" applyFont="1" applyFill="1" applyBorder="1"/>
    <xf numFmtId="179" fontId="32" fillId="5" borderId="12" xfId="0" applyNumberFormat="1" applyFont="1" applyFill="1" applyBorder="1" applyAlignment="1">
      <alignment horizontal="right"/>
    </xf>
    <xf numFmtId="175" fontId="32" fillId="2" borderId="6" xfId="0" applyNumberFormat="1" applyFont="1" applyFill="1" applyBorder="1"/>
    <xf numFmtId="0" fontId="32" fillId="2" borderId="8" xfId="0" applyFont="1" applyFill="1" applyBorder="1"/>
    <xf numFmtId="0" fontId="60" fillId="7" borderId="12" xfId="0" applyFont="1" applyFill="1" applyBorder="1"/>
    <xf numFmtId="0" fontId="10" fillId="7" borderId="6" xfId="0" applyFont="1" applyFill="1" applyBorder="1"/>
    <xf numFmtId="175" fontId="45" fillId="7" borderId="24" xfId="0" applyNumberFormat="1" applyFont="1" applyFill="1" applyBorder="1"/>
    <xf numFmtId="175" fontId="45" fillId="7" borderId="12" xfId="0" applyNumberFormat="1" applyFont="1" applyFill="1" applyBorder="1"/>
    <xf numFmtId="0" fontId="10" fillId="7" borderId="121" xfId="0" applyFont="1" applyFill="1" applyBorder="1"/>
    <xf numFmtId="175" fontId="45" fillId="7" borderId="121" xfId="0" applyNumberFormat="1" applyFont="1" applyFill="1" applyBorder="1"/>
    <xf numFmtId="175" fontId="60" fillId="7" borderId="121" xfId="0" applyNumberFormat="1" applyFont="1" applyFill="1" applyBorder="1"/>
    <xf numFmtId="0" fontId="10" fillId="7" borderId="12" xfId="0" applyFont="1" applyFill="1" applyBorder="1"/>
    <xf numFmtId="10" fontId="32" fillId="2" borderId="0" xfId="0" applyNumberFormat="1" applyFont="1" applyFill="1"/>
    <xf numFmtId="0" fontId="10" fillId="7" borderId="24" xfId="0" applyFont="1" applyFill="1" applyBorder="1"/>
    <xf numFmtId="9" fontId="45" fillId="7" borderId="24" xfId="0" applyNumberFormat="1" applyFont="1" applyFill="1" applyBorder="1" applyAlignment="1">
      <alignment horizontal="center"/>
    </xf>
    <xf numFmtId="9" fontId="45" fillId="7" borderId="121" xfId="0" applyNumberFormat="1" applyFont="1" applyFill="1" applyBorder="1" applyAlignment="1">
      <alignment horizontal="center"/>
    </xf>
    <xf numFmtId="175" fontId="13" fillId="23" borderId="29" xfId="0" applyNumberFormat="1" applyFont="1" applyFill="1" applyBorder="1" applyAlignment="1">
      <alignment horizontal="center"/>
    </xf>
    <xf numFmtId="180" fontId="3" fillId="0" borderId="6" xfId="0" applyNumberFormat="1" applyFont="1" applyBorder="1"/>
    <xf numFmtId="181" fontId="3" fillId="0" borderId="6" xfId="0" applyNumberFormat="1" applyFont="1" applyBorder="1"/>
    <xf numFmtId="2" fontId="3" fillId="9" borderId="6" xfId="0" applyNumberFormat="1" applyFont="1" applyFill="1" applyBorder="1"/>
    <xf numFmtId="9" fontId="3" fillId="9" borderId="6" xfId="0" applyNumberFormat="1" applyFont="1" applyFill="1" applyBorder="1"/>
    <xf numFmtId="0" fontId="32" fillId="9" borderId="1" xfId="0" applyFont="1" applyFill="1" applyBorder="1"/>
    <xf numFmtId="180" fontId="61" fillId="0" borderId="0" xfId="0" applyNumberFormat="1" applyFont="1"/>
    <xf numFmtId="181" fontId="61" fillId="0" borderId="0" xfId="0" applyNumberFormat="1" applyFont="1"/>
    <xf numFmtId="2" fontId="3" fillId="0" borderId="6" xfId="0" applyNumberFormat="1" applyFont="1" applyBorder="1"/>
    <xf numFmtId="0" fontId="3" fillId="2" borderId="215" xfId="0" applyFont="1" applyFill="1" applyBorder="1" applyAlignment="1">
      <alignment horizontal="left" vertical="top" wrapText="1"/>
    </xf>
    <xf numFmtId="180" fontId="3" fillId="2" borderId="6" xfId="0" applyNumberFormat="1" applyFont="1" applyFill="1" applyBorder="1"/>
    <xf numFmtId="181" fontId="3" fillId="2" borderId="6" xfId="0" applyNumberFormat="1" applyFont="1" applyFill="1" applyBorder="1"/>
    <xf numFmtId="0" fontId="62" fillId="9" borderId="0" xfId="0" applyFont="1" applyFill="1"/>
    <xf numFmtId="0" fontId="4" fillId="0" borderId="121" xfId="0" applyFont="1" applyBorder="1"/>
    <xf numFmtId="0" fontId="32" fillId="2" borderId="121" xfId="0" applyFont="1" applyFill="1" applyBorder="1" applyAlignment="1">
      <alignment horizontal="right"/>
    </xf>
    <xf numFmtId="175" fontId="45" fillId="0" borderId="121" xfId="0" applyNumberFormat="1" applyFont="1" applyBorder="1"/>
    <xf numFmtId="0" fontId="23" fillId="0" borderId="121" xfId="0" applyFont="1" applyBorder="1"/>
    <xf numFmtId="175" fontId="32" fillId="2" borderId="121" xfId="0" applyNumberFormat="1" applyFont="1" applyFill="1" applyBorder="1"/>
    <xf numFmtId="9" fontId="45" fillId="2" borderId="121" xfId="0" applyNumberFormat="1" applyFont="1" applyFill="1" applyBorder="1"/>
    <xf numFmtId="0" fontId="48" fillId="21" borderId="121" xfId="0" applyFont="1" applyFill="1" applyBorder="1"/>
    <xf numFmtId="0" fontId="48" fillId="21" borderId="121" xfId="0" applyFont="1" applyFill="1" applyBorder="1" applyAlignment="1">
      <alignment horizontal="center"/>
    </xf>
    <xf numFmtId="4" fontId="13" fillId="0" borderId="121" xfId="0" applyNumberFormat="1" applyFont="1" applyBorder="1" applyAlignment="1">
      <alignment horizontal="left"/>
    </xf>
    <xf numFmtId="3" fontId="13" fillId="0" borderId="121" xfId="0" applyNumberFormat="1" applyFont="1" applyBorder="1" applyAlignment="1">
      <alignment horizontal="center"/>
    </xf>
    <xf numFmtId="9" fontId="13" fillId="0" borderId="121" xfId="0" applyNumberFormat="1" applyFont="1" applyBorder="1" applyAlignment="1">
      <alignment horizontal="center"/>
    </xf>
    <xf numFmtId="4" fontId="13" fillId="0" borderId="121" xfId="0" applyNumberFormat="1" applyFont="1" applyBorder="1" applyAlignment="1">
      <alignment horizontal="center"/>
    </xf>
    <xf numFmtId="4" fontId="47" fillId="0" borderId="121" xfId="0" applyNumberFormat="1" applyFont="1" applyBorder="1" applyAlignment="1">
      <alignment horizontal="left"/>
    </xf>
    <xf numFmtId="3" fontId="47" fillId="0" borderId="121" xfId="0" applyNumberFormat="1" applyFont="1" applyBorder="1" applyAlignment="1">
      <alignment horizontal="center"/>
    </xf>
    <xf numFmtId="9" fontId="47" fillId="0" borderId="121" xfId="0" applyNumberFormat="1" applyFont="1" applyBorder="1" applyAlignment="1">
      <alignment horizontal="center"/>
    </xf>
    <xf numFmtId="0" fontId="32" fillId="0" borderId="12" xfId="0" applyFont="1" applyBorder="1"/>
    <xf numFmtId="41" fontId="32" fillId="0" borderId="184" xfId="0" applyNumberFormat="1" applyFont="1" applyBorder="1"/>
    <xf numFmtId="4" fontId="47" fillId="0" borderId="121" xfId="0" applyNumberFormat="1" applyFont="1" applyBorder="1" applyAlignment="1">
      <alignment horizontal="center"/>
    </xf>
    <xf numFmtId="0" fontId="35" fillId="0" borderId="184" xfId="0" applyFont="1" applyBorder="1"/>
    <xf numFmtId="0" fontId="13" fillId="29" borderId="6" xfId="0" applyFont="1" applyFill="1" applyBorder="1" applyAlignment="1">
      <alignment horizontal="center"/>
    </xf>
    <xf numFmtId="0" fontId="13" fillId="29" borderId="29" xfId="0" applyFont="1" applyFill="1" applyBorder="1" applyAlignment="1">
      <alignment horizontal="center"/>
    </xf>
    <xf numFmtId="0" fontId="47" fillId="0" borderId="0" xfId="0" applyFont="1"/>
    <xf numFmtId="0" fontId="63" fillId="30" borderId="0" xfId="0" applyFont="1" applyFill="1" applyAlignment="1">
      <alignment horizontal="center"/>
    </xf>
    <xf numFmtId="3" fontId="47" fillId="0" borderId="0" xfId="0" applyNumberFormat="1" applyFont="1" applyAlignment="1">
      <alignment horizontal="center"/>
    </xf>
    <xf numFmtId="0" fontId="47" fillId="0" borderId="0" xfId="0" applyFont="1" applyAlignment="1">
      <alignment horizontal="center"/>
    </xf>
    <xf numFmtId="3" fontId="47" fillId="0" borderId="0" xfId="0" applyNumberFormat="1" applyFont="1"/>
    <xf numFmtId="0" fontId="64" fillId="31" borderId="0" xfId="0" applyFont="1" applyFill="1" applyAlignment="1">
      <alignment horizontal="center"/>
    </xf>
    <xf numFmtId="0" fontId="47" fillId="29" borderId="28" xfId="0" applyFont="1" applyFill="1" applyBorder="1"/>
    <xf numFmtId="0" fontId="47" fillId="29" borderId="28" xfId="0" applyFont="1" applyFill="1" applyBorder="1" applyAlignment="1">
      <alignment horizontal="center"/>
    </xf>
    <xf numFmtId="0" fontId="47" fillId="29" borderId="132" xfId="0" applyFont="1" applyFill="1" applyBorder="1" applyAlignment="1">
      <alignment horizontal="center"/>
    </xf>
    <xf numFmtId="3" fontId="47" fillId="29" borderId="6" xfId="0" applyNumberFormat="1" applyFont="1" applyFill="1" applyBorder="1" applyAlignment="1">
      <alignment horizontal="center"/>
    </xf>
    <xf numFmtId="0" fontId="47" fillId="29" borderId="8" xfId="0" applyFont="1" applyFill="1" applyBorder="1" applyAlignment="1">
      <alignment horizontal="center"/>
    </xf>
    <xf numFmtId="3" fontId="47" fillId="0" borderId="29" xfId="0" applyNumberFormat="1" applyFont="1" applyBorder="1"/>
    <xf numFmtId="0" fontId="32" fillId="2" borderId="1" xfId="0" applyFont="1" applyFill="1" applyBorder="1" applyAlignment="1">
      <alignment wrapText="1"/>
    </xf>
    <xf numFmtId="0" fontId="47" fillId="29" borderId="6" xfId="0" applyFont="1" applyFill="1" applyBorder="1" applyAlignment="1">
      <alignment horizontal="center"/>
    </xf>
    <xf numFmtId="0" fontId="47" fillId="29" borderId="6" xfId="0" applyFont="1" applyFill="1" applyBorder="1"/>
    <xf numFmtId="0" fontId="47" fillId="0" borderId="29" xfId="0" applyFont="1" applyBorder="1"/>
    <xf numFmtId="0" fontId="32" fillId="0" borderId="12" xfId="0" applyFont="1" applyBorder="1" applyAlignment="1">
      <alignment horizontal="center"/>
    </xf>
    <xf numFmtId="0" fontId="47" fillId="29" borderId="29" xfId="0" applyFont="1" applyFill="1" applyBorder="1" applyAlignment="1">
      <alignment horizontal="center"/>
    </xf>
    <xf numFmtId="0" fontId="47" fillId="29" borderId="12" xfId="0" applyFont="1" applyFill="1" applyBorder="1" applyAlignment="1">
      <alignment horizontal="center"/>
    </xf>
    <xf numFmtId="0" fontId="47" fillId="29" borderId="12" xfId="0" applyFont="1" applyFill="1" applyBorder="1"/>
    <xf numFmtId="3" fontId="47" fillId="0" borderId="184" xfId="0" applyNumberFormat="1" applyFont="1" applyBorder="1"/>
    <xf numFmtId="0" fontId="47" fillId="0" borderId="12" xfId="0" applyFont="1" applyBorder="1" applyAlignment="1">
      <alignment horizontal="center"/>
    </xf>
    <xf numFmtId="0" fontId="47" fillId="0" borderId="184" xfId="0" applyFont="1" applyBorder="1" applyAlignment="1">
      <alignment horizontal="center"/>
    </xf>
    <xf numFmtId="41" fontId="47" fillId="0" borderId="12" xfId="0" applyNumberFormat="1" applyFont="1" applyBorder="1" applyAlignment="1">
      <alignment horizontal="center"/>
    </xf>
    <xf numFmtId="9" fontId="47" fillId="0" borderId="184" xfId="0" applyNumberFormat="1" applyFont="1" applyBorder="1" applyAlignment="1">
      <alignment horizontal="right"/>
    </xf>
    <xf numFmtId="41" fontId="47" fillId="29" borderId="12" xfId="0" applyNumberFormat="1" applyFont="1" applyFill="1" applyBorder="1" applyAlignment="1">
      <alignment horizontal="center"/>
    </xf>
    <xf numFmtId="0" fontId="47" fillId="29" borderId="184" xfId="0" applyFont="1" applyFill="1" applyBorder="1" applyAlignment="1">
      <alignment horizontal="center"/>
    </xf>
    <xf numFmtId="0" fontId="42" fillId="17" borderId="0" xfId="0" applyFont="1" applyFill="1" applyAlignment="1">
      <alignment horizontal="left" vertical="top" wrapText="1"/>
    </xf>
    <xf numFmtId="0" fontId="32" fillId="5" borderId="0" xfId="0" applyFont="1" applyFill="1"/>
    <xf numFmtId="41" fontId="10" fillId="15" borderId="121" xfId="0" applyNumberFormat="1" applyFont="1" applyFill="1" applyBorder="1" applyAlignment="1">
      <alignment horizontal="center" vertical="center" wrapText="1"/>
    </xf>
    <xf numFmtId="0" fontId="4" fillId="15" borderId="27" xfId="0" applyFont="1" applyFill="1" applyBorder="1" applyAlignment="1">
      <alignment horizontal="center" vertical="center" wrapText="1"/>
    </xf>
    <xf numFmtId="41" fontId="4" fillId="15" borderId="27" xfId="0" applyNumberFormat="1" applyFont="1" applyFill="1" applyBorder="1" applyAlignment="1">
      <alignment horizontal="center" vertical="center" wrapText="1"/>
    </xf>
    <xf numFmtId="41" fontId="10" fillId="15" borderId="27" xfId="0" applyNumberFormat="1" applyFont="1" applyFill="1" applyBorder="1" applyAlignment="1">
      <alignment horizontal="center" vertical="center" wrapText="1"/>
    </xf>
    <xf numFmtId="0" fontId="3" fillId="0" borderId="216" xfId="0" applyFont="1" applyBorder="1"/>
    <xf numFmtId="0" fontId="32" fillId="2" borderId="217" xfId="0" applyFont="1" applyFill="1" applyBorder="1"/>
    <xf numFmtId="0" fontId="3" fillId="0" borderId="217" xfId="0" applyFont="1" applyBorder="1"/>
    <xf numFmtId="0" fontId="3" fillId="2" borderId="217" xfId="0" applyFont="1" applyFill="1" applyBorder="1"/>
    <xf numFmtId="3" fontId="3" fillId="2" borderId="217" xfId="0" applyNumberFormat="1" applyFont="1" applyFill="1" applyBorder="1" applyAlignment="1">
      <alignment horizontal="center"/>
    </xf>
    <xf numFmtId="41" fontId="3" fillId="0" borderId="217" xfId="0" applyNumberFormat="1" applyFont="1" applyBorder="1" applyAlignment="1">
      <alignment horizontal="center"/>
    </xf>
    <xf numFmtId="41" fontId="32" fillId="7" borderId="217" xfId="0" applyNumberFormat="1" applyFont="1" applyFill="1" applyBorder="1" applyAlignment="1">
      <alignment horizontal="center"/>
    </xf>
    <xf numFmtId="41" fontId="32" fillId="7" borderId="218" xfId="0" applyNumberFormat="1" applyFont="1" applyFill="1" applyBorder="1" applyAlignment="1">
      <alignment horizontal="center"/>
    </xf>
    <xf numFmtId="0" fontId="3" fillId="0" borderId="219" xfId="0" applyFont="1" applyBorder="1"/>
    <xf numFmtId="0" fontId="3" fillId="0" borderId="121" xfId="0" applyFont="1" applyBorder="1"/>
    <xf numFmtId="0" fontId="3" fillId="2" borderId="121" xfId="0" applyFont="1" applyFill="1" applyBorder="1"/>
    <xf numFmtId="3" fontId="3" fillId="2" borderId="121" xfId="0" applyNumberFormat="1" applyFont="1" applyFill="1" applyBorder="1" applyAlignment="1">
      <alignment horizontal="center"/>
    </xf>
    <xf numFmtId="41" fontId="3" fillId="0" borderId="121" xfId="0" applyNumberFormat="1" applyFont="1" applyBorder="1" applyAlignment="1">
      <alignment horizontal="center"/>
    </xf>
    <xf numFmtId="41" fontId="32" fillId="7" borderId="121" xfId="0" applyNumberFormat="1" applyFont="1" applyFill="1" applyBorder="1" applyAlignment="1">
      <alignment horizontal="center"/>
    </xf>
    <xf numFmtId="41" fontId="32" fillId="7" borderId="220" xfId="0" applyNumberFormat="1" applyFont="1" applyFill="1" applyBorder="1" applyAlignment="1">
      <alignment horizontal="center"/>
    </xf>
    <xf numFmtId="0" fontId="3" fillId="0" borderId="221" xfId="0" applyFont="1" applyBorder="1"/>
    <xf numFmtId="0" fontId="32" fillId="2" borderId="222" xfId="0" applyFont="1" applyFill="1" applyBorder="1"/>
    <xf numFmtId="0" fontId="3" fillId="0" borderId="222" xfId="0" applyFont="1" applyBorder="1"/>
    <xf numFmtId="0" fontId="3" fillId="2" borderId="222" xfId="0" applyFont="1" applyFill="1" applyBorder="1"/>
    <xf numFmtId="3" fontId="3" fillId="2" borderId="222" xfId="0" applyNumberFormat="1" applyFont="1" applyFill="1" applyBorder="1" applyAlignment="1">
      <alignment horizontal="center"/>
    </xf>
    <xf numFmtId="41" fontId="3" fillId="0" borderId="222" xfId="0" applyNumberFormat="1" applyFont="1" applyBorder="1" applyAlignment="1">
      <alignment horizontal="center"/>
    </xf>
    <xf numFmtId="41" fontId="32" fillId="7" borderId="222" xfId="0" applyNumberFormat="1" applyFont="1" applyFill="1" applyBorder="1" applyAlignment="1">
      <alignment horizontal="center"/>
    </xf>
    <xf numFmtId="41" fontId="32" fillId="7" borderId="223" xfId="0" applyNumberFormat="1" applyFont="1" applyFill="1" applyBorder="1" applyAlignment="1">
      <alignment horizontal="center"/>
    </xf>
    <xf numFmtId="0" fontId="3" fillId="9" borderId="217" xfId="0" applyFont="1" applyFill="1" applyBorder="1"/>
    <xf numFmtId="0" fontId="3" fillId="9" borderId="121" xfId="0" applyFont="1" applyFill="1" applyBorder="1"/>
    <xf numFmtId="0" fontId="32" fillId="9" borderId="121" xfId="0" applyFont="1" applyFill="1" applyBorder="1"/>
    <xf numFmtId="0" fontId="3" fillId="9" borderId="222" xfId="0" applyFont="1" applyFill="1" applyBorder="1"/>
    <xf numFmtId="0" fontId="32" fillId="23" borderId="216" xfId="0" applyFont="1" applyFill="1" applyBorder="1"/>
    <xf numFmtId="0" fontId="32" fillId="23" borderId="217" xfId="0" applyFont="1" applyFill="1" applyBorder="1"/>
    <xf numFmtId="41" fontId="45" fillId="23" borderId="217" xfId="0" applyNumberFormat="1" applyFont="1" applyFill="1" applyBorder="1" applyAlignment="1">
      <alignment horizontal="right"/>
    </xf>
    <xf numFmtId="41" fontId="45" fillId="23" borderId="217" xfId="0" applyNumberFormat="1" applyFont="1" applyFill="1" applyBorder="1" applyAlignment="1">
      <alignment horizontal="center"/>
    </xf>
    <xf numFmtId="41" fontId="45" fillId="23" borderId="218" xfId="0" applyNumberFormat="1" applyFont="1" applyFill="1" applyBorder="1" applyAlignment="1">
      <alignment horizontal="center"/>
    </xf>
    <xf numFmtId="0" fontId="4" fillId="23" borderId="219" xfId="0" applyFont="1" applyFill="1" applyBorder="1"/>
    <xf numFmtId="0" fontId="4" fillId="23" borderId="121" xfId="0" applyFont="1" applyFill="1" applyBorder="1"/>
    <xf numFmtId="41" fontId="45" fillId="23" borderId="121" xfId="0" applyNumberFormat="1" applyFont="1" applyFill="1" applyBorder="1" applyAlignment="1">
      <alignment horizontal="right"/>
    </xf>
    <xf numFmtId="41" fontId="45" fillId="23" borderId="121" xfId="0" applyNumberFormat="1" applyFont="1" applyFill="1" applyBorder="1" applyAlignment="1">
      <alignment horizontal="center"/>
    </xf>
    <xf numFmtId="41" fontId="45" fillId="23" borderId="220" xfId="0" applyNumberFormat="1" applyFont="1" applyFill="1" applyBorder="1" applyAlignment="1">
      <alignment horizontal="center"/>
    </xf>
    <xf numFmtId="0" fontId="32" fillId="23" borderId="221" xfId="0" applyFont="1" applyFill="1" applyBorder="1"/>
    <xf numFmtId="0" fontId="32" fillId="23" borderId="222" xfId="0" applyFont="1" applyFill="1" applyBorder="1"/>
    <xf numFmtId="41" fontId="45" fillId="23" borderId="222" xfId="0" applyNumberFormat="1" applyFont="1" applyFill="1" applyBorder="1" applyAlignment="1">
      <alignment horizontal="right"/>
    </xf>
    <xf numFmtId="41" fontId="45" fillId="23" borderId="222" xfId="0" applyNumberFormat="1" applyFont="1" applyFill="1" applyBorder="1" applyAlignment="1">
      <alignment horizontal="center"/>
    </xf>
    <xf numFmtId="41" fontId="45" fillId="23" borderId="223" xfId="0" applyNumberFormat="1" applyFont="1" applyFill="1" applyBorder="1" applyAlignment="1">
      <alignment horizontal="center"/>
    </xf>
    <xf numFmtId="0" fontId="4" fillId="15" borderId="121" xfId="0" applyFont="1" applyFill="1" applyBorder="1" applyAlignment="1">
      <alignment horizontal="center" vertical="center" wrapText="1"/>
    </xf>
    <xf numFmtId="1" fontId="35" fillId="0" borderId="121" xfId="0" applyNumberFormat="1" applyFont="1" applyBorder="1" applyAlignment="1">
      <alignment horizontal="center"/>
    </xf>
    <xf numFmtId="9" fontId="35" fillId="0" borderId="121" xfId="0" applyNumberFormat="1" applyFont="1" applyBorder="1" applyAlignment="1">
      <alignment horizontal="center"/>
    </xf>
    <xf numFmtId="9" fontId="32" fillId="2" borderId="121" xfId="0" applyNumberFormat="1" applyFont="1" applyFill="1" applyBorder="1" applyAlignment="1">
      <alignment horizontal="center"/>
    </xf>
    <xf numFmtId="2" fontId="32" fillId="2" borderId="121" xfId="0" applyNumberFormat="1" applyFont="1" applyFill="1" applyBorder="1" applyAlignment="1">
      <alignment horizontal="center"/>
    </xf>
    <xf numFmtId="171" fontId="32" fillId="2" borderId="121" xfId="0" applyNumberFormat="1" applyFont="1" applyFill="1" applyBorder="1" applyAlignment="1">
      <alignment horizontal="center"/>
    </xf>
    <xf numFmtId="0" fontId="23" fillId="0" borderId="27" xfId="0" applyFont="1" applyBorder="1"/>
    <xf numFmtId="1" fontId="45" fillId="2" borderId="27" xfId="0" applyNumberFormat="1" applyFont="1" applyFill="1" applyBorder="1" applyAlignment="1">
      <alignment horizontal="center"/>
    </xf>
    <xf numFmtId="9" fontId="45" fillId="2" borderId="121" xfId="0" applyNumberFormat="1" applyFont="1" applyFill="1" applyBorder="1" applyAlignment="1">
      <alignment horizontal="center"/>
    </xf>
    <xf numFmtId="0" fontId="45" fillId="2" borderId="121" xfId="0" applyFont="1" applyFill="1" applyBorder="1" applyAlignment="1">
      <alignment horizontal="center"/>
    </xf>
    <xf numFmtId="0" fontId="45" fillId="2" borderId="121" xfId="0" applyFont="1" applyFill="1" applyBorder="1"/>
    <xf numFmtId="1" fontId="45" fillId="2" borderId="121" xfId="0" applyNumberFormat="1" applyFont="1" applyFill="1" applyBorder="1" applyAlignment="1">
      <alignment horizontal="center"/>
    </xf>
    <xf numFmtId="10" fontId="32" fillId="2" borderId="121" xfId="0" applyNumberFormat="1" applyFont="1" applyFill="1" applyBorder="1"/>
    <xf numFmtId="170" fontId="32" fillId="9" borderId="121" xfId="0" applyNumberFormat="1" applyFont="1" applyFill="1" applyBorder="1"/>
    <xf numFmtId="0" fontId="32" fillId="9" borderId="121" xfId="0" applyFont="1" applyFill="1" applyBorder="1" applyAlignment="1">
      <alignment horizontal="right"/>
    </xf>
    <xf numFmtId="1" fontId="32" fillId="9" borderId="121" xfId="0" applyNumberFormat="1" applyFont="1" applyFill="1" applyBorder="1"/>
    <xf numFmtId="0" fontId="32" fillId="9" borderId="127" xfId="0" applyFont="1" applyFill="1" applyBorder="1"/>
    <xf numFmtId="9" fontId="32" fillId="9" borderId="121" xfId="0" applyNumberFormat="1" applyFont="1" applyFill="1" applyBorder="1"/>
    <xf numFmtId="0" fontId="32" fillId="9" borderId="51" xfId="0" applyFont="1" applyFill="1" applyBorder="1"/>
    <xf numFmtId="3" fontId="3" fillId="2" borderId="217" xfId="0" applyNumberFormat="1" applyFont="1" applyFill="1" applyBorder="1" applyAlignment="1">
      <alignment horizontal="right"/>
    </xf>
    <xf numFmtId="41" fontId="3" fillId="2" borderId="217" xfId="0" applyNumberFormat="1" applyFont="1" applyFill="1" applyBorder="1" applyAlignment="1">
      <alignment horizontal="center"/>
    </xf>
    <xf numFmtId="41" fontId="32" fillId="7" borderId="217" xfId="0" applyNumberFormat="1" applyFont="1" applyFill="1" applyBorder="1"/>
    <xf numFmtId="41" fontId="32" fillId="7" borderId="218" xfId="0" applyNumberFormat="1" applyFont="1" applyFill="1" applyBorder="1"/>
    <xf numFmtId="3" fontId="3" fillId="2" borderId="121" xfId="0" applyNumberFormat="1" applyFont="1" applyFill="1" applyBorder="1" applyAlignment="1">
      <alignment horizontal="right"/>
    </xf>
    <xf numFmtId="41" fontId="3" fillId="2" borderId="121" xfId="0" applyNumberFormat="1" applyFont="1" applyFill="1" applyBorder="1" applyAlignment="1">
      <alignment horizontal="center"/>
    </xf>
    <xf numFmtId="41" fontId="32" fillId="7" borderId="121" xfId="0" applyNumberFormat="1" applyFont="1" applyFill="1" applyBorder="1"/>
    <xf numFmtId="41" fontId="32" fillId="7" borderId="220" xfId="0" applyNumberFormat="1" applyFont="1" applyFill="1" applyBorder="1"/>
    <xf numFmtId="3" fontId="3" fillId="2" borderId="222" xfId="0" applyNumberFormat="1" applyFont="1" applyFill="1" applyBorder="1" applyAlignment="1">
      <alignment horizontal="right"/>
    </xf>
    <xf numFmtId="41" fontId="3" fillId="2" borderId="222" xfId="0" applyNumberFormat="1" applyFont="1" applyFill="1" applyBorder="1" applyAlignment="1">
      <alignment horizontal="center"/>
    </xf>
    <xf numFmtId="41" fontId="32" fillId="7" borderId="222" xfId="0" applyNumberFormat="1" applyFont="1" applyFill="1" applyBorder="1"/>
    <xf numFmtId="41" fontId="32" fillId="7" borderId="223" xfId="0" applyNumberFormat="1" applyFont="1" applyFill="1" applyBorder="1"/>
    <xf numFmtId="41" fontId="45" fillId="7" borderId="121" xfId="0" applyNumberFormat="1" applyFont="1" applyFill="1" applyBorder="1"/>
    <xf numFmtId="0" fontId="32" fillId="23" borderId="31" xfId="0" applyFont="1" applyFill="1" applyBorder="1"/>
    <xf numFmtId="41" fontId="45" fillId="23" borderId="31" xfId="0" applyNumberFormat="1" applyFont="1" applyFill="1" applyBorder="1" applyAlignment="1">
      <alignment horizontal="right"/>
    </xf>
    <xf numFmtId="41" fontId="45" fillId="23" borderId="31" xfId="0" applyNumberFormat="1" applyFont="1" applyFill="1" applyBorder="1"/>
    <xf numFmtId="41" fontId="45" fillId="23" borderId="121" xfId="0" applyNumberFormat="1" applyFont="1" applyFill="1" applyBorder="1"/>
    <xf numFmtId="0" fontId="32" fillId="23" borderId="121" xfId="0" applyFont="1" applyFill="1" applyBorder="1"/>
    <xf numFmtId="3" fontId="35" fillId="9" borderId="121" xfId="0" applyNumberFormat="1" applyFont="1" applyFill="1" applyBorder="1" applyAlignment="1">
      <alignment horizontal="center"/>
    </xf>
    <xf numFmtId="9" fontId="35" fillId="9" borderId="121" xfId="0" applyNumberFormat="1" applyFont="1" applyFill="1" applyBorder="1" applyAlignment="1">
      <alignment horizontal="center"/>
    </xf>
    <xf numFmtId="9" fontId="32" fillId="9" borderId="121" xfId="0" applyNumberFormat="1" applyFont="1" applyFill="1" applyBorder="1" applyAlignment="1">
      <alignment horizontal="center"/>
    </xf>
    <xf numFmtId="2" fontId="32" fillId="9" borderId="121" xfId="0" applyNumberFormat="1" applyFont="1" applyFill="1" applyBorder="1" applyAlignment="1">
      <alignment horizontal="center"/>
    </xf>
    <xf numFmtId="171" fontId="32" fillId="9" borderId="121" xfId="0" applyNumberFormat="1" applyFont="1" applyFill="1" applyBorder="1" applyAlignment="1">
      <alignment horizontal="center"/>
    </xf>
    <xf numFmtId="0" fontId="45" fillId="9" borderId="121" xfId="0" applyFont="1" applyFill="1" applyBorder="1"/>
    <xf numFmtId="0" fontId="23" fillId="9" borderId="27" xfId="0" applyFont="1" applyFill="1" applyBorder="1"/>
    <xf numFmtId="3" fontId="35" fillId="9" borderId="27" xfId="0" applyNumberFormat="1" applyFont="1" applyFill="1" applyBorder="1" applyAlignment="1">
      <alignment horizontal="center"/>
    </xf>
    <xf numFmtId="0" fontId="45" fillId="9" borderId="121" xfId="0" applyFont="1" applyFill="1" applyBorder="1" applyAlignment="1">
      <alignment horizontal="center"/>
    </xf>
    <xf numFmtId="1" fontId="45" fillId="9" borderId="121" xfId="0" applyNumberFormat="1" applyFont="1" applyFill="1" applyBorder="1" applyAlignment="1">
      <alignment horizontal="center"/>
    </xf>
    <xf numFmtId="10" fontId="32" fillId="9" borderId="121" xfId="0" applyNumberFormat="1" applyFont="1" applyFill="1" applyBorder="1" applyAlignment="1">
      <alignment horizontal="center"/>
    </xf>
    <xf numFmtId="0" fontId="32" fillId="9" borderId="36" xfId="0" applyFont="1" applyFill="1" applyBorder="1"/>
    <xf numFmtId="0" fontId="32" fillId="9" borderId="112" xfId="0" applyFont="1" applyFill="1" applyBorder="1"/>
    <xf numFmtId="9" fontId="32" fillId="2" borderId="121" xfId="0" applyNumberFormat="1" applyFont="1" applyFill="1" applyBorder="1"/>
    <xf numFmtId="182" fontId="32" fillId="2" borderId="121" xfId="0" applyNumberFormat="1" applyFont="1" applyFill="1" applyBorder="1"/>
    <xf numFmtId="182" fontId="32" fillId="32" borderId="121" xfId="0" applyNumberFormat="1" applyFont="1" applyFill="1" applyBorder="1"/>
    <xf numFmtId="183" fontId="32" fillId="2" borderId="121" xfId="0" applyNumberFormat="1" applyFont="1" applyFill="1" applyBorder="1"/>
    <xf numFmtId="182" fontId="32" fillId="9" borderId="121" xfId="0" applyNumberFormat="1" applyFont="1" applyFill="1" applyBorder="1"/>
    <xf numFmtId="182" fontId="32" fillId="13" borderId="121" xfId="0" applyNumberFormat="1" applyFont="1" applyFill="1" applyBorder="1"/>
    <xf numFmtId="0" fontId="4" fillId="15" borderId="117" xfId="0" applyFont="1" applyFill="1" applyBorder="1" applyAlignment="1">
      <alignment horizontal="center" vertical="center" wrapText="1"/>
    </xf>
    <xf numFmtId="0" fontId="35" fillId="0" borderId="121" xfId="0" applyFont="1" applyBorder="1"/>
    <xf numFmtId="41" fontId="35" fillId="0" borderId="121" xfId="0" applyNumberFormat="1" applyFont="1" applyBorder="1"/>
    <xf numFmtId="2" fontId="58" fillId="0" borderId="121" xfId="0" applyNumberFormat="1" applyFont="1" applyBorder="1"/>
    <xf numFmtId="0" fontId="58" fillId="9" borderId="121" xfId="0" applyFont="1" applyFill="1" applyBorder="1" applyAlignment="1">
      <alignment horizontal="left" vertical="top"/>
    </xf>
    <xf numFmtId="0" fontId="47" fillId="0" borderId="121" xfId="0" applyFont="1" applyBorder="1"/>
    <xf numFmtId="184" fontId="47" fillId="0" borderId="121" xfId="0" applyNumberFormat="1" applyFont="1" applyBorder="1"/>
    <xf numFmtId="180" fontId="23" fillId="0" borderId="121" xfId="0" applyNumberFormat="1" applyFont="1" applyBorder="1"/>
    <xf numFmtId="0" fontId="58" fillId="0" borderId="121" xfId="0" applyFont="1" applyBorder="1"/>
    <xf numFmtId="0" fontId="45" fillId="2" borderId="6" xfId="0" applyFont="1" applyFill="1" applyBorder="1" applyAlignment="1">
      <alignment horizontal="left"/>
    </xf>
    <xf numFmtId="0" fontId="32" fillId="2" borderId="6" xfId="0" applyFont="1" applyFill="1" applyBorder="1" applyAlignment="1">
      <alignment horizontal="left"/>
    </xf>
    <xf numFmtId="184" fontId="58" fillId="0" borderId="121" xfId="0" applyNumberFormat="1" applyFont="1" applyBorder="1"/>
    <xf numFmtId="10" fontId="32" fillId="2" borderId="6" xfId="0" applyNumberFormat="1" applyFont="1" applyFill="1" applyBorder="1" applyAlignment="1">
      <alignment horizontal="left"/>
    </xf>
    <xf numFmtId="0" fontId="66" fillId="2" borderId="127" xfId="0" applyFont="1" applyFill="1" applyBorder="1"/>
    <xf numFmtId="0" fontId="41" fillId="18" borderId="121" xfId="0" applyFont="1" applyFill="1" applyBorder="1" applyAlignment="1">
      <alignment horizontal="center" vertical="center" wrapText="1"/>
    </xf>
    <xf numFmtId="0" fontId="41" fillId="18" borderId="0" xfId="0" applyFont="1" applyFill="1" applyAlignment="1">
      <alignment horizontal="center" vertical="center" wrapText="1"/>
    </xf>
    <xf numFmtId="0" fontId="45" fillId="7" borderId="117" xfId="0" applyFont="1" applyFill="1" applyBorder="1"/>
    <xf numFmtId="0" fontId="45" fillId="7" borderId="118" xfId="0" applyFont="1" applyFill="1" applyBorder="1"/>
    <xf numFmtId="0" fontId="45" fillId="11" borderId="117" xfId="0" applyFont="1" applyFill="1" applyBorder="1"/>
    <xf numFmtId="185" fontId="45" fillId="11" borderId="118" xfId="0" applyNumberFormat="1" applyFont="1" applyFill="1" applyBorder="1" applyAlignment="1">
      <alignment horizontal="center"/>
    </xf>
    <xf numFmtId="9" fontId="45" fillId="11" borderId="118" xfId="0" applyNumberFormat="1" applyFont="1" applyFill="1" applyBorder="1" applyAlignment="1">
      <alignment horizontal="center"/>
    </xf>
    <xf numFmtId="185" fontId="32" fillId="2" borderId="121" xfId="0" applyNumberFormat="1" applyFont="1" applyFill="1" applyBorder="1" applyAlignment="1">
      <alignment horizontal="center"/>
    </xf>
    <xf numFmtId="185" fontId="45" fillId="7" borderId="118" xfId="0" applyNumberFormat="1" applyFont="1" applyFill="1" applyBorder="1" applyAlignment="1">
      <alignment horizontal="center"/>
    </xf>
    <xf numFmtId="9" fontId="45" fillId="7" borderId="118" xfId="0" applyNumberFormat="1" applyFont="1" applyFill="1" applyBorder="1" applyAlignment="1">
      <alignment horizontal="center"/>
    </xf>
    <xf numFmtId="4" fontId="13" fillId="0" borderId="121" xfId="0" applyNumberFormat="1" applyFont="1" applyBorder="1" applyAlignment="1">
      <alignment horizontal="left" vertical="center"/>
    </xf>
    <xf numFmtId="3" fontId="13" fillId="0" borderId="121" xfId="0" applyNumberFormat="1" applyFont="1" applyBorder="1" applyAlignment="1">
      <alignment horizontal="center" vertical="center"/>
    </xf>
    <xf numFmtId="9" fontId="13" fillId="0" borderId="121" xfId="0" applyNumberFormat="1" applyFont="1" applyBorder="1" applyAlignment="1">
      <alignment horizontal="center" vertical="center"/>
    </xf>
    <xf numFmtId="4" fontId="47" fillId="0" borderId="121" xfId="0" applyNumberFormat="1" applyFont="1" applyBorder="1" applyAlignment="1">
      <alignment horizontal="left" vertical="center"/>
    </xf>
    <xf numFmtId="3" fontId="47" fillId="0" borderId="121" xfId="0" applyNumberFormat="1" applyFont="1" applyBorder="1" applyAlignment="1">
      <alignment horizontal="center" vertical="center"/>
    </xf>
    <xf numFmtId="9" fontId="47" fillId="0" borderId="121" xfId="0" applyNumberFormat="1" applyFont="1" applyBorder="1" applyAlignment="1">
      <alignment horizontal="center" vertical="center"/>
    </xf>
    <xf numFmtId="4" fontId="13" fillId="0" borderId="121" xfId="0" applyNumberFormat="1" applyFont="1" applyBorder="1" applyAlignment="1">
      <alignment horizontal="center" vertical="center"/>
    </xf>
    <xf numFmtId="167" fontId="13" fillId="0" borderId="121" xfId="0" applyNumberFormat="1" applyFont="1" applyBorder="1" applyAlignment="1">
      <alignment horizontal="center" vertical="center"/>
    </xf>
    <xf numFmtId="4" fontId="47" fillId="0" borderId="121" xfId="0" applyNumberFormat="1" applyFont="1" applyBorder="1" applyAlignment="1">
      <alignment horizontal="center" vertical="center"/>
    </xf>
    <xf numFmtId="167" fontId="47" fillId="0" borderId="121" xfId="0" applyNumberFormat="1" applyFont="1" applyBorder="1" applyAlignment="1">
      <alignment horizontal="center" vertical="center"/>
    </xf>
    <xf numFmtId="10" fontId="13" fillId="0" borderId="121" xfId="0" applyNumberFormat="1" applyFont="1" applyBorder="1" applyAlignment="1">
      <alignment horizontal="center" vertical="center"/>
    </xf>
    <xf numFmtId="41" fontId="32" fillId="2" borderId="41" xfId="0" applyNumberFormat="1" applyFont="1" applyFill="1" applyBorder="1"/>
    <xf numFmtId="0" fontId="32" fillId="5" borderId="1" xfId="0" applyFont="1" applyFill="1" applyBorder="1" applyAlignment="1">
      <alignment horizontal="center"/>
    </xf>
    <xf numFmtId="0" fontId="45" fillId="7" borderId="121" xfId="0" applyFont="1" applyFill="1" applyBorder="1"/>
    <xf numFmtId="0" fontId="4" fillId="2" borderId="41" xfId="0" applyFont="1" applyFill="1" applyBorder="1"/>
    <xf numFmtId="0" fontId="45" fillId="5" borderId="121" xfId="0" applyFont="1" applyFill="1" applyBorder="1" applyAlignment="1">
      <alignment horizontal="center"/>
    </xf>
    <xf numFmtId="41" fontId="32" fillId="4" borderId="121" xfId="0" applyNumberFormat="1" applyFont="1" applyFill="1" applyBorder="1"/>
    <xf numFmtId="41" fontId="32" fillId="2" borderId="121" xfId="0" applyNumberFormat="1" applyFont="1" applyFill="1" applyBorder="1"/>
    <xf numFmtId="0" fontId="32" fillId="0" borderId="121" xfId="0" applyFont="1" applyBorder="1"/>
    <xf numFmtId="1" fontId="32" fillId="7" borderId="121" xfId="0" applyNumberFormat="1" applyFont="1" applyFill="1" applyBorder="1" applyAlignment="1">
      <alignment horizontal="center"/>
    </xf>
    <xf numFmtId="1" fontId="32" fillId="2" borderId="121" xfId="0" applyNumberFormat="1" applyFont="1" applyFill="1" applyBorder="1" applyAlignment="1">
      <alignment horizontal="center"/>
    </xf>
    <xf numFmtId="0" fontId="32" fillId="13" borderId="121" xfId="0" applyFont="1" applyFill="1" applyBorder="1"/>
    <xf numFmtId="41" fontId="32" fillId="13" borderId="121" xfId="0" applyNumberFormat="1" applyFont="1" applyFill="1" applyBorder="1"/>
    <xf numFmtId="0" fontId="45" fillId="13" borderId="121" xfId="0" applyFont="1" applyFill="1" applyBorder="1" applyAlignment="1">
      <alignment horizontal="center"/>
    </xf>
    <xf numFmtId="9" fontId="32" fillId="13" borderId="121" xfId="0" applyNumberFormat="1" applyFont="1" applyFill="1" applyBorder="1" applyAlignment="1">
      <alignment horizontal="center"/>
    </xf>
    <xf numFmtId="1" fontId="45" fillId="2" borderId="121" xfId="0" applyNumberFormat="1" applyFont="1" applyFill="1" applyBorder="1"/>
    <xf numFmtId="41" fontId="32" fillId="2" borderId="229" xfId="0" applyNumberFormat="1" applyFont="1" applyFill="1" applyBorder="1"/>
    <xf numFmtId="0" fontId="32" fillId="2" borderId="230" xfId="0" applyFont="1" applyFill="1" applyBorder="1"/>
    <xf numFmtId="41" fontId="32" fillId="33" borderId="121" xfId="0" applyNumberFormat="1" applyFont="1" applyFill="1" applyBorder="1"/>
    <xf numFmtId="0" fontId="32" fillId="2" borderId="121" xfId="0" applyFont="1" applyFill="1" applyBorder="1" applyAlignment="1">
      <alignment horizontal="center"/>
    </xf>
    <xf numFmtId="3" fontId="45" fillId="2" borderId="121" xfId="0" applyNumberFormat="1" applyFont="1" applyFill="1" applyBorder="1"/>
    <xf numFmtId="1" fontId="32" fillId="2" borderId="92" xfId="0" applyNumberFormat="1" applyFont="1" applyFill="1" applyBorder="1"/>
    <xf numFmtId="1" fontId="45" fillId="2" borderId="65" xfId="0" applyNumberFormat="1" applyFont="1" applyFill="1" applyBorder="1"/>
    <xf numFmtId="0" fontId="45" fillId="2" borderId="231" xfId="0" applyFont="1" applyFill="1" applyBorder="1"/>
    <xf numFmtId="0" fontId="32" fillId="0" borderId="121" xfId="0" applyFont="1" applyBorder="1" applyAlignment="1">
      <alignment horizontal="center"/>
    </xf>
    <xf numFmtId="2" fontId="45" fillId="2" borderId="121" xfId="0" applyNumberFormat="1" applyFont="1" applyFill="1" applyBorder="1"/>
    <xf numFmtId="1" fontId="67" fillId="2" borderId="121" xfId="0" applyNumberFormat="1" applyFont="1" applyFill="1" applyBorder="1"/>
    <xf numFmtId="0" fontId="68" fillId="2" borderId="121" xfId="0" applyFont="1" applyFill="1" applyBorder="1"/>
    <xf numFmtId="41" fontId="45" fillId="2" borderId="121" xfId="0" applyNumberFormat="1" applyFont="1" applyFill="1" applyBorder="1"/>
    <xf numFmtId="1" fontId="45" fillId="7" borderId="121" xfId="0" applyNumberFormat="1" applyFont="1" applyFill="1" applyBorder="1" applyAlignment="1">
      <alignment horizontal="center"/>
    </xf>
    <xf numFmtId="0" fontId="45" fillId="2" borderId="41" xfId="0" applyFont="1" applyFill="1" applyBorder="1"/>
    <xf numFmtId="0" fontId="45" fillId="2" borderId="1" xfId="0" applyFont="1" applyFill="1" applyBorder="1"/>
    <xf numFmtId="41" fontId="45" fillId="33" borderId="121" xfId="0" applyNumberFormat="1" applyFont="1" applyFill="1" applyBorder="1"/>
    <xf numFmtId="170" fontId="45" fillId="2" borderId="121" xfId="0" applyNumberFormat="1" applyFont="1" applyFill="1" applyBorder="1" applyAlignment="1">
      <alignment horizontal="center"/>
    </xf>
    <xf numFmtId="2" fontId="32" fillId="2" borderId="42" xfId="0" applyNumberFormat="1" applyFont="1" applyFill="1" applyBorder="1"/>
    <xf numFmtId="0" fontId="4" fillId="2" borderId="42" xfId="0" applyFont="1" applyFill="1" applyBorder="1"/>
    <xf numFmtId="0" fontId="32" fillId="2" borderId="115" xfId="0" applyFont="1" applyFill="1" applyBorder="1"/>
    <xf numFmtId="0" fontId="32" fillId="2" borderId="89" xfId="0" applyFont="1" applyFill="1" applyBorder="1" applyAlignment="1">
      <alignment horizontal="center"/>
    </xf>
    <xf numFmtId="186" fontId="4" fillId="15" borderId="121" xfId="0" applyNumberFormat="1" applyFont="1" applyFill="1" applyBorder="1" applyAlignment="1">
      <alignment horizontal="center" vertical="center" wrapText="1"/>
    </xf>
    <xf numFmtId="186" fontId="32" fillId="2" borderId="1" xfId="0" applyNumberFormat="1" applyFont="1" applyFill="1" applyBorder="1"/>
    <xf numFmtId="180" fontId="32" fillId="2" borderId="115" xfId="0" applyNumberFormat="1" applyFont="1" applyFill="1" applyBorder="1"/>
    <xf numFmtId="1" fontId="32" fillId="2" borderId="121" xfId="0" applyNumberFormat="1" applyFont="1" applyFill="1" applyBorder="1"/>
    <xf numFmtId="186" fontId="32" fillId="2" borderId="121" xfId="0" applyNumberFormat="1" applyFont="1" applyFill="1" applyBorder="1" applyAlignment="1">
      <alignment horizontal="center"/>
    </xf>
    <xf numFmtId="186" fontId="23" fillId="0" borderId="0" xfId="0" applyNumberFormat="1" applyFont="1"/>
    <xf numFmtId="186" fontId="32" fillId="2" borderId="115" xfId="0" applyNumberFormat="1" applyFont="1" applyFill="1" applyBorder="1"/>
    <xf numFmtId="186" fontId="45" fillId="2" borderId="121" xfId="0" applyNumberFormat="1" applyFont="1" applyFill="1" applyBorder="1" applyAlignment="1">
      <alignment horizontal="center"/>
    </xf>
    <xf numFmtId="10" fontId="32" fillId="2" borderId="115" xfId="0" applyNumberFormat="1" applyFont="1" applyFill="1" applyBorder="1"/>
    <xf numFmtId="10" fontId="32" fillId="2" borderId="121" xfId="0" applyNumberFormat="1" applyFont="1" applyFill="1" applyBorder="1" applyAlignment="1">
      <alignment horizontal="center"/>
    </xf>
    <xf numFmtId="1" fontId="32" fillId="7" borderId="121" xfId="0" applyNumberFormat="1" applyFont="1" applyFill="1" applyBorder="1"/>
    <xf numFmtId="10" fontId="45" fillId="2" borderId="121" xfId="0" applyNumberFormat="1" applyFont="1" applyFill="1" applyBorder="1" applyAlignment="1">
      <alignment horizontal="center"/>
    </xf>
    <xf numFmtId="1" fontId="45" fillId="7" borderId="121" xfId="0" applyNumberFormat="1" applyFont="1" applyFill="1" applyBorder="1"/>
    <xf numFmtId="186" fontId="32" fillId="2" borderId="42" xfId="0" applyNumberFormat="1" applyFont="1" applyFill="1" applyBorder="1"/>
    <xf numFmtId="41" fontId="32" fillId="2" borderId="121" xfId="0" applyNumberFormat="1" applyFont="1" applyFill="1" applyBorder="1" applyAlignment="1">
      <alignment horizontal="right" vertical="center"/>
    </xf>
    <xf numFmtId="41" fontId="23" fillId="0" borderId="121" xfId="0" applyNumberFormat="1" applyFont="1" applyBorder="1" applyAlignment="1">
      <alignment vertical="center"/>
    </xf>
    <xf numFmtId="9" fontId="32" fillId="2" borderId="121" xfId="0" applyNumberFormat="1" applyFont="1" applyFill="1" applyBorder="1" applyAlignment="1">
      <alignment horizontal="right" vertical="center"/>
    </xf>
    <xf numFmtId="185" fontId="45" fillId="9" borderId="121" xfId="0" applyNumberFormat="1" applyFont="1" applyFill="1" applyBorder="1" applyAlignment="1">
      <alignment horizontal="right" vertical="center"/>
    </xf>
    <xf numFmtId="185" fontId="45" fillId="9" borderId="121" xfId="0" applyNumberFormat="1" applyFont="1" applyFill="1" applyBorder="1" applyAlignment="1">
      <alignment horizontal="right"/>
    </xf>
    <xf numFmtId="185" fontId="22" fillId="0" borderId="121" xfId="0" applyNumberFormat="1" applyFont="1" applyBorder="1"/>
    <xf numFmtId="9" fontId="45" fillId="2" borderId="121" xfId="0" applyNumberFormat="1" applyFont="1" applyFill="1" applyBorder="1" applyAlignment="1">
      <alignment horizontal="right"/>
    </xf>
    <xf numFmtId="41" fontId="32" fillId="2" borderId="121" xfId="0" applyNumberFormat="1" applyFont="1" applyFill="1" applyBorder="1" applyAlignment="1">
      <alignment horizontal="right"/>
    </xf>
    <xf numFmtId="41" fontId="23" fillId="0" borderId="121" xfId="0" applyNumberFormat="1" applyFont="1" applyBorder="1"/>
    <xf numFmtId="9" fontId="32" fillId="2" borderId="121" xfId="0" applyNumberFormat="1" applyFont="1" applyFill="1" applyBorder="1" applyAlignment="1">
      <alignment horizontal="right"/>
    </xf>
    <xf numFmtId="9" fontId="23" fillId="0" borderId="121" xfId="0" applyNumberFormat="1" applyFont="1" applyBorder="1" applyAlignment="1">
      <alignment horizontal="right" vertical="center"/>
    </xf>
    <xf numFmtId="9" fontId="32" fillId="9" borderId="121" xfId="0" applyNumberFormat="1" applyFont="1" applyFill="1" applyBorder="1" applyAlignment="1">
      <alignment horizontal="right"/>
    </xf>
    <xf numFmtId="9" fontId="23" fillId="0" borderId="121" xfId="0" applyNumberFormat="1" applyFont="1" applyBorder="1"/>
    <xf numFmtId="41" fontId="45" fillId="2" borderId="121" xfId="0" applyNumberFormat="1" applyFont="1" applyFill="1" applyBorder="1" applyAlignment="1">
      <alignment horizontal="right" vertical="center"/>
    </xf>
    <xf numFmtId="41" fontId="22" fillId="0" borderId="121" xfId="0" applyNumberFormat="1" applyFont="1" applyBorder="1" applyAlignment="1">
      <alignment vertical="center"/>
    </xf>
    <xf numFmtId="9" fontId="45" fillId="2" borderId="121" xfId="0" applyNumberFormat="1" applyFont="1" applyFill="1" applyBorder="1" applyAlignment="1">
      <alignment horizontal="right" vertical="center"/>
    </xf>
    <xf numFmtId="170" fontId="45" fillId="2" borderId="121" xfId="0" applyNumberFormat="1" applyFont="1" applyFill="1" applyBorder="1" applyAlignment="1">
      <alignment horizontal="right"/>
    </xf>
    <xf numFmtId="49" fontId="32" fillId="2" borderId="42" xfId="0" applyNumberFormat="1" applyFont="1" applyFill="1" applyBorder="1"/>
    <xf numFmtId="0" fontId="32" fillId="2" borderId="42" xfId="0" applyFont="1" applyFill="1" applyBorder="1" applyAlignment="1">
      <alignment horizontal="left"/>
    </xf>
    <xf numFmtId="49" fontId="32" fillId="2" borderId="36" xfId="0" applyNumberFormat="1" applyFont="1" applyFill="1" applyBorder="1"/>
    <xf numFmtId="0" fontId="4" fillId="15" borderId="118" xfId="0" applyFont="1" applyFill="1" applyBorder="1" applyAlignment="1">
      <alignment horizontal="center" vertical="center" wrapText="1"/>
    </xf>
    <xf numFmtId="2" fontId="4" fillId="9" borderId="121" xfId="0" applyNumberFormat="1" applyFont="1" applyFill="1" applyBorder="1"/>
    <xf numFmtId="49" fontId="32" fillId="2" borderId="125" xfId="0" applyNumberFormat="1" applyFont="1" applyFill="1" applyBorder="1"/>
    <xf numFmtId="0" fontId="32" fillId="2" borderId="119" xfId="0" applyFont="1" applyFill="1" applyBorder="1"/>
    <xf numFmtId="0" fontId="43" fillId="34" borderId="1" xfId="0" applyFont="1" applyFill="1" applyBorder="1" applyAlignment="1">
      <alignment horizontal="center" vertical="top" wrapText="1"/>
    </xf>
    <xf numFmtId="0" fontId="43" fillId="34" borderId="1" xfId="0" applyFont="1" applyFill="1" applyBorder="1" applyAlignment="1">
      <alignment horizontal="left" vertical="top" wrapText="1"/>
    </xf>
    <xf numFmtId="0" fontId="42" fillId="34" borderId="1" xfId="0" applyFont="1" applyFill="1" applyBorder="1" applyAlignment="1">
      <alignment horizontal="left" vertical="top"/>
    </xf>
    <xf numFmtId="42" fontId="42" fillId="34" borderId="1" xfId="0" applyNumberFormat="1" applyFont="1" applyFill="1" applyBorder="1" applyAlignment="1">
      <alignment horizontal="center" vertical="top" wrapText="1"/>
    </xf>
    <xf numFmtId="0" fontId="42" fillId="34" borderId="1" xfId="0" applyFont="1" applyFill="1" applyBorder="1" applyAlignment="1">
      <alignment horizontal="left" vertical="top" wrapText="1"/>
    </xf>
    <xf numFmtId="0" fontId="32" fillId="34" borderId="1" xfId="0" applyFont="1" applyFill="1" applyBorder="1"/>
    <xf numFmtId="0" fontId="32" fillId="34" borderId="1" xfId="0" applyFont="1" applyFill="1" applyBorder="1" applyAlignment="1">
      <alignment horizontal="center"/>
    </xf>
    <xf numFmtId="0" fontId="44" fillId="34" borderId="1" xfId="0" applyFont="1" applyFill="1" applyBorder="1" applyAlignment="1">
      <alignment horizontal="left" vertical="top"/>
    </xf>
    <xf numFmtId="0" fontId="32" fillId="34" borderId="0" xfId="0" applyFont="1" applyFill="1"/>
    <xf numFmtId="42" fontId="32" fillId="34" borderId="1" xfId="0" applyNumberFormat="1" applyFont="1" applyFill="1" applyBorder="1"/>
    <xf numFmtId="0" fontId="69" fillId="0" borderId="0" xfId="0" applyFont="1"/>
    <xf numFmtId="0" fontId="45" fillId="5" borderId="121" xfId="0" applyFont="1" applyFill="1" applyBorder="1"/>
    <xf numFmtId="0" fontId="11" fillId="0" borderId="121" xfId="0" applyFont="1" applyBorder="1"/>
    <xf numFmtId="3" fontId="47" fillId="9" borderId="6" xfId="0" applyNumberFormat="1" applyFont="1" applyFill="1" applyBorder="1"/>
    <xf numFmtId="3" fontId="69" fillId="0" borderId="121" xfId="0" applyNumberFormat="1" applyFont="1" applyBorder="1" applyAlignment="1">
      <alignment horizontal="center"/>
    </xf>
    <xf numFmtId="9" fontId="32" fillId="0" borderId="121" xfId="0" applyNumberFormat="1" applyFont="1" applyBorder="1"/>
    <xf numFmtId="0" fontId="45" fillId="22" borderId="121" xfId="0" applyFont="1" applyFill="1" applyBorder="1"/>
    <xf numFmtId="3" fontId="10" fillId="22" borderId="121" xfId="0" applyNumberFormat="1" applyFont="1" applyFill="1" applyBorder="1" applyAlignment="1">
      <alignment horizontal="center"/>
    </xf>
    <xf numFmtId="9" fontId="10" fillId="22" borderId="121" xfId="0" applyNumberFormat="1" applyFont="1" applyFill="1" applyBorder="1"/>
    <xf numFmtId="0" fontId="32" fillId="2" borderId="89" xfId="0" applyFont="1" applyFill="1" applyBorder="1"/>
    <xf numFmtId="42" fontId="4" fillId="15" borderId="121" xfId="0" applyNumberFormat="1" applyFont="1" applyFill="1" applyBorder="1" applyAlignment="1">
      <alignment horizontal="center" vertical="center" wrapText="1"/>
    </xf>
    <xf numFmtId="1" fontId="47" fillId="0" borderId="121" xfId="0" applyNumberFormat="1" applyFont="1" applyBorder="1"/>
    <xf numFmtId="0" fontId="11" fillId="0" borderId="121" xfId="0" applyFont="1" applyBorder="1" applyAlignment="1">
      <alignment horizontal="left"/>
    </xf>
    <xf numFmtId="0" fontId="47" fillId="0" borderId="121" xfId="0" applyFont="1" applyBorder="1" applyAlignment="1">
      <alignment horizontal="center"/>
    </xf>
    <xf numFmtId="41" fontId="47" fillId="0" borderId="121" xfId="0" applyNumberFormat="1" applyFont="1" applyBorder="1" applyAlignment="1">
      <alignment horizontal="right"/>
    </xf>
    <xf numFmtId="4" fontId="47" fillId="0" borderId="121" xfId="0" applyNumberFormat="1" applyFont="1" applyBorder="1"/>
    <xf numFmtId="1" fontId="32" fillId="0" borderId="121" xfId="0" applyNumberFormat="1" applyFont="1" applyBorder="1"/>
    <xf numFmtId="4" fontId="4" fillId="0" borderId="121" xfId="0" applyNumberFormat="1" applyFont="1" applyBorder="1" applyAlignment="1">
      <alignment vertical="top"/>
    </xf>
    <xf numFmtId="4" fontId="32" fillId="2" borderId="121" xfId="0" applyNumberFormat="1" applyFont="1" applyFill="1" applyBorder="1"/>
    <xf numFmtId="185" fontId="32" fillId="9" borderId="121" xfId="0" applyNumberFormat="1" applyFont="1" applyFill="1" applyBorder="1" applyAlignment="1">
      <alignment horizontal="right"/>
    </xf>
    <xf numFmtId="185" fontId="23" fillId="0" borderId="121" xfId="0" applyNumberFormat="1" applyFont="1" applyBorder="1"/>
    <xf numFmtId="3" fontId="23" fillId="0" borderId="121" xfId="0" applyNumberFormat="1" applyFont="1" applyBorder="1"/>
    <xf numFmtId="185" fontId="32" fillId="9" borderId="121" xfId="0" applyNumberFormat="1" applyFont="1" applyFill="1" applyBorder="1" applyAlignment="1">
      <alignment horizontal="right" vertical="center"/>
    </xf>
    <xf numFmtId="0" fontId="32" fillId="9" borderId="191" xfId="0" applyFont="1" applyFill="1" applyBorder="1"/>
    <xf numFmtId="180" fontId="32" fillId="9" borderId="191" xfId="0" applyNumberFormat="1" applyFont="1" applyFill="1" applyBorder="1" applyAlignment="1">
      <alignment horizontal="center"/>
    </xf>
    <xf numFmtId="0" fontId="47" fillId="0" borderId="0" xfId="0" applyFont="1" applyAlignment="1">
      <alignment horizontal="left"/>
    </xf>
    <xf numFmtId="3" fontId="47" fillId="0" borderId="0" xfId="0" applyNumberFormat="1" applyFont="1" applyAlignment="1">
      <alignment horizontal="right"/>
    </xf>
    <xf numFmtId="0" fontId="70" fillId="0" borderId="0" xfId="0" applyFont="1" applyAlignment="1">
      <alignment horizontal="left"/>
    </xf>
    <xf numFmtId="0" fontId="71" fillId="2" borderId="1" xfId="0" applyFont="1" applyFill="1" applyBorder="1" applyAlignment="1">
      <alignment vertical="center" wrapText="1"/>
    </xf>
    <xf numFmtId="0" fontId="72" fillId="2" borderId="1" xfId="0" applyFont="1" applyFill="1" applyBorder="1" applyAlignment="1">
      <alignment horizontal="center" vertical="center" wrapText="1"/>
    </xf>
    <xf numFmtId="0" fontId="43" fillId="5" borderId="36" xfId="0" applyFont="1" applyFill="1" applyBorder="1" applyAlignment="1">
      <alignment horizontal="left" vertical="top" wrapText="1"/>
    </xf>
    <xf numFmtId="0" fontId="42" fillId="5" borderId="36" xfId="0" applyFont="1" applyFill="1" applyBorder="1" applyAlignment="1">
      <alignment horizontal="left" vertical="top"/>
    </xf>
    <xf numFmtId="0" fontId="42" fillId="5" borderId="36" xfId="0" applyFont="1" applyFill="1" applyBorder="1" applyAlignment="1">
      <alignment horizontal="left" vertical="top" wrapText="1"/>
    </xf>
    <xf numFmtId="0" fontId="42" fillId="5" borderId="36" xfId="0" applyFont="1" applyFill="1" applyBorder="1" applyAlignment="1">
      <alignment horizontal="center" vertical="top" wrapText="1"/>
    </xf>
    <xf numFmtId="0" fontId="32" fillId="4" borderId="41" xfId="0" applyFont="1" applyFill="1" applyBorder="1"/>
    <xf numFmtId="0" fontId="32" fillId="4" borderId="1" xfId="0" applyFont="1" applyFill="1" applyBorder="1"/>
    <xf numFmtId="0" fontId="13" fillId="7" borderId="121" xfId="0" applyFont="1" applyFill="1" applyBorder="1"/>
    <xf numFmtId="0" fontId="32" fillId="15" borderId="6" xfId="0" applyFont="1" applyFill="1" applyBorder="1" applyAlignment="1">
      <alignment horizontal="center"/>
    </xf>
    <xf numFmtId="0" fontId="11" fillId="9" borderId="6" xfId="0" applyFont="1" applyFill="1" applyBorder="1"/>
    <xf numFmtId="0" fontId="23" fillId="0" borderId="6" xfId="0" applyFont="1" applyBorder="1" applyAlignment="1">
      <alignment horizontal="center"/>
    </xf>
    <xf numFmtId="1" fontId="47" fillId="9" borderId="6" xfId="0" applyNumberFormat="1" applyFont="1" applyFill="1" applyBorder="1" applyAlignment="1">
      <alignment horizontal="center"/>
    </xf>
    <xf numFmtId="9" fontId="32" fillId="2" borderId="6" xfId="0" applyNumberFormat="1" applyFont="1" applyFill="1" applyBorder="1" applyAlignment="1">
      <alignment horizontal="center"/>
    </xf>
    <xf numFmtId="0" fontId="11" fillId="9" borderId="12" xfId="0" applyFont="1" applyFill="1" applyBorder="1"/>
    <xf numFmtId="3" fontId="47" fillId="9" borderId="6" xfId="0" applyNumberFormat="1" applyFont="1" applyFill="1" applyBorder="1" applyAlignment="1">
      <alignment horizontal="center"/>
    </xf>
    <xf numFmtId="0" fontId="4" fillId="2" borderId="8" xfId="0" applyFont="1" applyFill="1" applyBorder="1"/>
    <xf numFmtId="0" fontId="3" fillId="2" borderId="8" xfId="0" applyFont="1" applyFill="1" applyBorder="1"/>
    <xf numFmtId="0" fontId="3" fillId="2" borderId="128" xfId="0" applyFont="1" applyFill="1" applyBorder="1"/>
    <xf numFmtId="0" fontId="3" fillId="2" borderId="30" xfId="0" applyFont="1" applyFill="1" applyBorder="1"/>
    <xf numFmtId="0" fontId="73" fillId="0" borderId="0" xfId="0" applyFont="1" applyAlignment="1">
      <alignment horizontal="center" vertical="center" wrapText="1"/>
    </xf>
    <xf numFmtId="0" fontId="74" fillId="0" borderId="0" xfId="0" applyFont="1" applyAlignment="1">
      <alignment vertical="center" wrapText="1"/>
    </xf>
    <xf numFmtId="0" fontId="42" fillId="28" borderId="1" xfId="0" applyFont="1" applyFill="1" applyBorder="1" applyAlignment="1">
      <alignment horizontal="left" vertical="top"/>
    </xf>
    <xf numFmtId="0" fontId="32" fillId="28" borderId="1" xfId="0" applyFont="1" applyFill="1" applyBorder="1"/>
    <xf numFmtId="0" fontId="32" fillId="28" borderId="1" xfId="0" applyFont="1" applyFill="1" applyBorder="1" applyAlignment="1">
      <alignment horizontal="center"/>
    </xf>
    <xf numFmtId="0" fontId="75" fillId="2" borderId="36" xfId="0" applyFont="1" applyFill="1" applyBorder="1" applyAlignment="1">
      <alignment wrapText="1"/>
    </xf>
    <xf numFmtId="0" fontId="32" fillId="2" borderId="37" xfId="0" applyFont="1" applyFill="1" applyBorder="1" applyAlignment="1">
      <alignment horizontal="center"/>
    </xf>
    <xf numFmtId="0" fontId="4" fillId="15" borderId="6" xfId="0" applyFont="1" applyFill="1" applyBorder="1" applyAlignment="1">
      <alignment horizontal="left" vertical="center" wrapText="1"/>
    </xf>
    <xf numFmtId="0" fontId="32" fillId="0" borderId="29" xfId="0" applyFont="1" applyBorder="1"/>
    <xf numFmtId="3" fontId="32" fillId="0" borderId="29" xfId="0" applyNumberFormat="1" applyFont="1" applyBorder="1" applyAlignment="1">
      <alignment horizontal="right"/>
    </xf>
    <xf numFmtId="177" fontId="32" fillId="0" borderId="29" xfId="0" applyNumberFormat="1" applyFont="1" applyBorder="1" applyAlignment="1">
      <alignment horizontal="right"/>
    </xf>
    <xf numFmtId="178" fontId="32" fillId="0" borderId="29" xfId="0" applyNumberFormat="1" applyFont="1" applyBorder="1" applyAlignment="1">
      <alignment horizontal="right"/>
    </xf>
    <xf numFmtId="4" fontId="32" fillId="7" borderId="29" xfId="0" applyNumberFormat="1" applyFont="1" applyFill="1" applyBorder="1" applyAlignment="1">
      <alignment horizontal="right"/>
    </xf>
    <xf numFmtId="42" fontId="32" fillId="2" borderId="6" xfId="0" applyNumberFormat="1" applyFont="1" applyFill="1" applyBorder="1"/>
    <xf numFmtId="42" fontId="32" fillId="2" borderId="87" xfId="0" applyNumberFormat="1" applyFont="1" applyFill="1" applyBorder="1"/>
    <xf numFmtId="1" fontId="32" fillId="7" borderId="6" xfId="0" applyNumberFormat="1" applyFont="1" applyFill="1" applyBorder="1"/>
    <xf numFmtId="178" fontId="47" fillId="0" borderId="6" xfId="0" applyNumberFormat="1" applyFont="1" applyBorder="1"/>
    <xf numFmtId="0" fontId="32" fillId="2" borderId="16" xfId="0" applyFont="1" applyFill="1" applyBorder="1"/>
    <xf numFmtId="1" fontId="32" fillId="7" borderId="13" xfId="0" applyNumberFormat="1" applyFont="1" applyFill="1" applyBorder="1"/>
    <xf numFmtId="0" fontId="50" fillId="2" borderId="1" xfId="0" applyFont="1" applyFill="1" applyBorder="1"/>
    <xf numFmtId="0" fontId="45" fillId="7" borderId="6" xfId="0" applyFont="1" applyFill="1" applyBorder="1" applyAlignment="1">
      <alignment horizontal="center"/>
    </xf>
    <xf numFmtId="1" fontId="45" fillId="7" borderId="6" xfId="0" applyNumberFormat="1" applyFont="1" applyFill="1" applyBorder="1"/>
    <xf numFmtId="4" fontId="45" fillId="7" borderId="6" xfId="0" applyNumberFormat="1" applyFont="1" applyFill="1" applyBorder="1"/>
    <xf numFmtId="0" fontId="50" fillId="2" borderId="1" xfId="0" applyFont="1" applyFill="1" applyBorder="1" applyAlignment="1">
      <alignment horizontal="center"/>
    </xf>
    <xf numFmtId="41" fontId="32" fillId="2" borderId="6" xfId="0" applyNumberFormat="1" applyFont="1" applyFill="1" applyBorder="1" applyAlignment="1">
      <alignment horizontal="right" vertical="center"/>
    </xf>
    <xf numFmtId="41" fontId="32" fillId="2" borderId="6" xfId="0" applyNumberFormat="1" applyFont="1" applyFill="1" applyBorder="1" applyAlignment="1">
      <alignment horizontal="right"/>
    </xf>
    <xf numFmtId="10" fontId="32" fillId="2" borderId="6" xfId="0" applyNumberFormat="1" applyFont="1" applyFill="1" applyBorder="1" applyAlignment="1">
      <alignment horizontal="center"/>
    </xf>
    <xf numFmtId="0" fontId="4" fillId="15" borderId="8" xfId="0" applyFont="1" applyFill="1" applyBorder="1" applyAlignment="1">
      <alignment horizontal="center" vertical="center" wrapText="1"/>
    </xf>
    <xf numFmtId="0" fontId="4" fillId="15" borderId="8" xfId="0" applyFont="1" applyFill="1" applyBorder="1" applyAlignment="1">
      <alignment horizontal="left" vertical="center" wrapText="1"/>
    </xf>
    <xf numFmtId="41" fontId="4" fillId="15" borderId="8" xfId="0" applyNumberFormat="1" applyFont="1" applyFill="1" applyBorder="1" applyAlignment="1">
      <alignment horizontal="center" vertical="center" wrapText="1"/>
    </xf>
    <xf numFmtId="0" fontId="45" fillId="5" borderId="8" xfId="0" applyFont="1" applyFill="1" applyBorder="1" applyAlignment="1">
      <alignment horizontal="center"/>
    </xf>
    <xf numFmtId="0" fontId="32" fillId="2" borderId="238" xfId="0" applyFont="1" applyFill="1" applyBorder="1"/>
    <xf numFmtId="0" fontId="32" fillId="2" borderId="239" xfId="0" applyFont="1" applyFill="1" applyBorder="1"/>
    <xf numFmtId="41" fontId="47" fillId="0" borderId="239" xfId="0" applyNumberFormat="1" applyFont="1" applyBorder="1" applyAlignment="1">
      <alignment horizontal="right"/>
    </xf>
    <xf numFmtId="0" fontId="32" fillId="2" borderId="239" xfId="0" applyFont="1" applyFill="1" applyBorder="1" applyAlignment="1">
      <alignment horizontal="center"/>
    </xf>
    <xf numFmtId="187" fontId="32" fillId="7" borderId="239" xfId="0" applyNumberFormat="1" applyFont="1" applyFill="1" applyBorder="1"/>
    <xf numFmtId="187" fontId="32" fillId="7" borderId="240" xfId="0" applyNumberFormat="1" applyFont="1" applyFill="1" applyBorder="1"/>
    <xf numFmtId="0" fontId="32" fillId="2" borderId="241" xfId="0" applyFont="1" applyFill="1" applyBorder="1"/>
    <xf numFmtId="41" fontId="47" fillId="0" borderId="6" xfId="0" applyNumberFormat="1" applyFont="1" applyBorder="1" applyAlignment="1">
      <alignment horizontal="right"/>
    </xf>
    <xf numFmtId="0" fontId="32" fillId="0" borderId="6" xfId="0" applyFont="1" applyBorder="1" applyAlignment="1">
      <alignment horizontal="center"/>
    </xf>
    <xf numFmtId="187" fontId="32" fillId="7" borderId="6" xfId="0" applyNumberFormat="1" applyFont="1" applyFill="1" applyBorder="1"/>
    <xf numFmtId="187" fontId="32" fillId="7" borderId="242" xfId="0" applyNumberFormat="1" applyFont="1" applyFill="1" applyBorder="1"/>
    <xf numFmtId="0" fontId="32" fillId="2" borderId="243" xfId="0" applyFont="1" applyFill="1" applyBorder="1"/>
    <xf numFmtId="0" fontId="32" fillId="2" borderId="244" xfId="0" applyFont="1" applyFill="1" applyBorder="1"/>
    <xf numFmtId="0" fontId="32" fillId="9" borderId="244" xfId="0" applyFont="1" applyFill="1" applyBorder="1"/>
    <xf numFmtId="41" fontId="47" fillId="0" borderId="244" xfId="0" applyNumberFormat="1" applyFont="1" applyBorder="1" applyAlignment="1">
      <alignment horizontal="right"/>
    </xf>
    <xf numFmtId="0" fontId="32" fillId="2" borderId="244" xfId="0" applyFont="1" applyFill="1" applyBorder="1" applyAlignment="1">
      <alignment horizontal="center"/>
    </xf>
    <xf numFmtId="187" fontId="32" fillId="7" borderId="244" xfId="0" applyNumberFormat="1" applyFont="1" applyFill="1" applyBorder="1"/>
    <xf numFmtId="187" fontId="32" fillId="7" borderId="245" xfId="0" applyNumberFormat="1" applyFont="1" applyFill="1" applyBorder="1"/>
    <xf numFmtId="0" fontId="32" fillId="9" borderId="239" xfId="0" applyFont="1" applyFill="1" applyBorder="1"/>
    <xf numFmtId="41" fontId="45" fillId="2" borderId="12" xfId="0" applyNumberFormat="1" applyFont="1" applyFill="1" applyBorder="1"/>
    <xf numFmtId="0" fontId="45" fillId="7" borderId="12" xfId="0" applyFont="1" applyFill="1" applyBorder="1"/>
    <xf numFmtId="41" fontId="45" fillId="7" borderId="12" xfId="0" applyNumberFormat="1" applyFont="1" applyFill="1" applyBorder="1"/>
    <xf numFmtId="0" fontId="47" fillId="9" borderId="6" xfId="0" applyFont="1" applyFill="1" applyBorder="1" applyAlignment="1">
      <alignment horizontal="right"/>
    </xf>
    <xf numFmtId="0" fontId="4" fillId="15" borderId="13" xfId="0" applyFont="1" applyFill="1" applyBorder="1" applyAlignment="1">
      <alignment horizontal="center" vertical="center" wrapText="1"/>
    </xf>
    <xf numFmtId="0" fontId="45" fillId="5" borderId="6" xfId="0" applyFont="1" applyFill="1" applyBorder="1" applyAlignment="1">
      <alignment horizontal="center" vertical="center"/>
    </xf>
    <xf numFmtId="41" fontId="45" fillId="2" borderId="6" xfId="0" applyNumberFormat="1" applyFont="1" applyFill="1" applyBorder="1"/>
    <xf numFmtId="0" fontId="45" fillId="2" borderId="87" xfId="0" applyFont="1" applyFill="1" applyBorder="1"/>
    <xf numFmtId="0" fontId="32" fillId="2" borderId="87" xfId="0" applyFont="1" applyFill="1" applyBorder="1"/>
    <xf numFmtId="0" fontId="45" fillId="0" borderId="6" xfId="0" applyFont="1" applyBorder="1"/>
    <xf numFmtId="0" fontId="45" fillId="7" borderId="6" xfId="0" applyFont="1" applyFill="1" applyBorder="1"/>
    <xf numFmtId="41" fontId="45" fillId="7" borderId="6" xfId="0" applyNumberFormat="1" applyFont="1" applyFill="1" applyBorder="1"/>
    <xf numFmtId="0" fontId="3" fillId="0" borderId="0" xfId="0" applyFont="1"/>
    <xf numFmtId="0" fontId="3" fillId="0" borderId="0" xfId="0" applyFont="1" applyAlignment="1">
      <alignment horizontal="left"/>
    </xf>
    <xf numFmtId="0" fontId="76" fillId="0" borderId="0" xfId="0" applyFont="1"/>
    <xf numFmtId="0" fontId="77" fillId="5" borderId="1" xfId="0" applyFont="1" applyFill="1" applyBorder="1"/>
    <xf numFmtId="188" fontId="3" fillId="0" borderId="0" xfId="0" applyNumberFormat="1" applyFont="1"/>
    <xf numFmtId="0" fontId="76" fillId="5" borderId="6" xfId="0" applyFont="1" applyFill="1" applyBorder="1"/>
    <xf numFmtId="0" fontId="76" fillId="0" borderId="6" xfId="0" applyFont="1" applyBorder="1"/>
    <xf numFmtId="174" fontId="76" fillId="0" borderId="0" xfId="0" applyNumberFormat="1" applyFont="1"/>
    <xf numFmtId="188" fontId="3" fillId="4" borderId="1" xfId="0" applyNumberFormat="1" applyFont="1" applyFill="1" applyBorder="1"/>
    <xf numFmtId="0" fontId="3" fillId="4" borderId="1" xfId="0" applyFont="1" applyFill="1" applyBorder="1"/>
    <xf numFmtId="3" fontId="3" fillId="4" borderId="1" xfId="0" applyNumberFormat="1" applyFont="1" applyFill="1" applyBorder="1"/>
    <xf numFmtId="41" fontId="3" fillId="4" borderId="1" xfId="0" applyNumberFormat="1" applyFont="1" applyFill="1" applyBorder="1"/>
    <xf numFmtId="189" fontId="3" fillId="4" borderId="1" xfId="0" applyNumberFormat="1" applyFont="1" applyFill="1" applyBorder="1"/>
    <xf numFmtId="0" fontId="3" fillId="9" borderId="1" xfId="0" applyFont="1" applyFill="1" applyBorder="1"/>
    <xf numFmtId="1" fontId="1" fillId="0" borderId="0" xfId="0" applyNumberFormat="1" applyFont="1"/>
    <xf numFmtId="2" fontId="1" fillId="0" borderId="0" xfId="0" applyNumberFormat="1" applyFont="1"/>
    <xf numFmtId="0" fontId="3" fillId="9" borderId="0" xfId="0" applyFont="1" applyFill="1"/>
    <xf numFmtId="0" fontId="77" fillId="5" borderId="6" xfId="0" applyFont="1" applyFill="1" applyBorder="1"/>
    <xf numFmtId="41" fontId="76" fillId="0" borderId="6" xfId="0" applyNumberFormat="1" applyFont="1" applyBorder="1"/>
    <xf numFmtId="41" fontId="76" fillId="22" borderId="6" xfId="0" applyNumberFormat="1" applyFont="1" applyFill="1" applyBorder="1"/>
    <xf numFmtId="9" fontId="76" fillId="0" borderId="0" xfId="0" applyNumberFormat="1" applyFont="1"/>
    <xf numFmtId="0" fontId="1" fillId="19" borderId="1" xfId="0" applyFont="1" applyFill="1" applyBorder="1"/>
    <xf numFmtId="0" fontId="3" fillId="2" borderId="1" xfId="0" applyFont="1" applyFill="1" applyBorder="1"/>
    <xf numFmtId="0" fontId="78" fillId="2" borderId="1" xfId="0" applyFont="1" applyFill="1" applyBorder="1"/>
    <xf numFmtId="0" fontId="79" fillId="2" borderId="1" xfId="0" applyFont="1" applyFill="1" applyBorder="1"/>
    <xf numFmtId="0" fontId="3" fillId="2" borderId="36" xfId="0" applyFont="1" applyFill="1" applyBorder="1"/>
    <xf numFmtId="0" fontId="3" fillId="2" borderId="37" xfId="0" applyFont="1" applyFill="1" applyBorder="1"/>
    <xf numFmtId="0" fontId="3" fillId="2" borderId="27" xfId="0" applyFont="1" applyFill="1" applyBorder="1"/>
    <xf numFmtId="0" fontId="80" fillId="35" borderId="246" xfId="0" applyFont="1" applyFill="1" applyBorder="1" applyAlignment="1">
      <alignment vertical="top" wrapText="1"/>
    </xf>
    <xf numFmtId="0" fontId="80" fillId="35" borderId="247" xfId="0" applyFont="1" applyFill="1" applyBorder="1" applyAlignment="1">
      <alignment vertical="top" wrapText="1"/>
    </xf>
    <xf numFmtId="0" fontId="80" fillId="35" borderId="248" xfId="0" applyFont="1" applyFill="1" applyBorder="1" applyAlignment="1">
      <alignment vertical="top" wrapText="1"/>
    </xf>
    <xf numFmtId="0" fontId="80" fillId="35" borderId="249" xfId="0" applyFont="1" applyFill="1" applyBorder="1" applyAlignment="1">
      <alignment vertical="top" wrapText="1"/>
    </xf>
    <xf numFmtId="0" fontId="3" fillId="2" borderId="29" xfId="0" applyFont="1" applyFill="1" applyBorder="1" applyAlignment="1">
      <alignment horizontal="left"/>
    </xf>
    <xf numFmtId="0" fontId="3" fillId="2" borderId="6" xfId="0" applyFont="1" applyFill="1" applyBorder="1" applyAlignment="1">
      <alignment horizontal="center"/>
    </xf>
    <xf numFmtId="0" fontId="78" fillId="2" borderId="6" xfId="0" applyFont="1" applyFill="1" applyBorder="1"/>
    <xf numFmtId="171" fontId="78" fillId="2" borderId="6" xfId="0" applyNumberFormat="1" applyFont="1" applyFill="1" applyBorder="1"/>
    <xf numFmtId="0" fontId="3" fillId="4" borderId="6" xfId="0" applyFont="1" applyFill="1" applyBorder="1"/>
    <xf numFmtId="0" fontId="3" fillId="2" borderId="121" xfId="0" applyFont="1" applyFill="1" applyBorder="1" applyAlignment="1">
      <alignment horizontal="left"/>
    </xf>
    <xf numFmtId="180" fontId="78" fillId="2" borderId="6" xfId="0" applyNumberFormat="1" applyFont="1" applyFill="1" applyBorder="1"/>
    <xf numFmtId="171" fontId="3" fillId="2" borderId="121" xfId="0" applyNumberFormat="1" applyFont="1" applyFill="1" applyBorder="1" applyAlignment="1">
      <alignment horizontal="left"/>
    </xf>
    <xf numFmtId="0" fontId="3" fillId="2" borderId="42" xfId="0" applyFont="1" applyFill="1" applyBorder="1"/>
    <xf numFmtId="186" fontId="78" fillId="2" borderId="6" xfId="0" applyNumberFormat="1" applyFont="1" applyFill="1" applyBorder="1"/>
    <xf numFmtId="0" fontId="3" fillId="2" borderId="41" xfId="0" applyFont="1" applyFill="1" applyBorder="1"/>
    <xf numFmtId="0" fontId="3" fillId="2" borderId="231" xfId="0" applyFont="1" applyFill="1" applyBorder="1"/>
    <xf numFmtId="0" fontId="3" fillId="2" borderId="251" xfId="0" applyFont="1" applyFill="1" applyBorder="1" applyAlignment="1">
      <alignment horizontal="center"/>
    </xf>
    <xf numFmtId="0" fontId="3" fillId="2" borderId="89" xfId="0" applyFont="1" applyFill="1" applyBorder="1"/>
    <xf numFmtId="0" fontId="3" fillId="2" borderId="121" xfId="0" applyFont="1" applyFill="1" applyBorder="1" applyAlignment="1">
      <alignment vertical="top" wrapText="1"/>
    </xf>
    <xf numFmtId="0" fontId="4" fillId="2" borderId="121" xfId="0" applyFont="1" applyFill="1" applyBorder="1"/>
    <xf numFmtId="2" fontId="4" fillId="0" borderId="121" xfId="0" applyNumberFormat="1" applyFont="1" applyBorder="1"/>
    <xf numFmtId="0" fontId="3" fillId="7" borderId="121" xfId="0" applyFont="1" applyFill="1" applyBorder="1" applyAlignment="1">
      <alignment vertical="top" wrapText="1"/>
    </xf>
    <xf numFmtId="0" fontId="3" fillId="7" borderId="121" xfId="0" applyFont="1" applyFill="1" applyBorder="1"/>
    <xf numFmtId="2" fontId="4" fillId="7" borderId="121" xfId="0" applyNumberFormat="1" applyFont="1" applyFill="1" applyBorder="1"/>
    <xf numFmtId="0" fontId="4" fillId="7" borderId="121" xfId="0" applyFont="1" applyFill="1" applyBorder="1"/>
    <xf numFmtId="0" fontId="3" fillId="2" borderId="115" xfId="0" applyFont="1" applyFill="1" applyBorder="1"/>
    <xf numFmtId="2" fontId="3" fillId="2" borderId="121" xfId="0" applyNumberFormat="1" applyFont="1" applyFill="1" applyBorder="1"/>
    <xf numFmtId="0" fontId="3" fillId="0" borderId="121" xfId="0" applyFont="1" applyBorder="1" applyAlignment="1">
      <alignment vertical="top" wrapText="1"/>
    </xf>
    <xf numFmtId="0" fontId="11" fillId="0" borderId="12" xfId="0" applyFont="1" applyBorder="1"/>
    <xf numFmtId="2" fontId="76" fillId="0" borderId="12" xfId="0" applyNumberFormat="1" applyFont="1" applyBorder="1"/>
    <xf numFmtId="0" fontId="76" fillId="0" borderId="12" xfId="0" applyFont="1" applyBorder="1"/>
    <xf numFmtId="0" fontId="11" fillId="0" borderId="6" xfId="0" applyFont="1" applyBorder="1"/>
    <xf numFmtId="2" fontId="76" fillId="0" borderId="6" xfId="0" applyNumberFormat="1" applyFont="1" applyBorder="1"/>
    <xf numFmtId="2" fontId="11" fillId="0" borderId="6" xfId="0" applyNumberFormat="1" applyFont="1" applyBorder="1"/>
    <xf numFmtId="0" fontId="11" fillId="4" borderId="6" xfId="0" applyFont="1" applyFill="1" applyBorder="1"/>
    <xf numFmtId="2" fontId="11" fillId="4" borderId="6" xfId="0" applyNumberFormat="1" applyFont="1" applyFill="1" applyBorder="1"/>
    <xf numFmtId="0" fontId="76" fillId="4" borderId="6" xfId="0" applyFont="1" applyFill="1" applyBorder="1"/>
    <xf numFmtId="2" fontId="76" fillId="4" borderId="6" xfId="0" applyNumberFormat="1" applyFont="1" applyFill="1" applyBorder="1"/>
    <xf numFmtId="2" fontId="4" fillId="0" borderId="6" xfId="0" applyNumberFormat="1" applyFont="1" applyBorder="1"/>
    <xf numFmtId="2" fontId="4" fillId="0" borderId="0" xfId="0" applyNumberFormat="1" applyFont="1"/>
    <xf numFmtId="2" fontId="3" fillId="2" borderId="6" xfId="0" applyNumberFormat="1" applyFont="1" applyFill="1" applyBorder="1"/>
    <xf numFmtId="2" fontId="61" fillId="0" borderId="0" xfId="0" applyNumberFormat="1" applyFont="1"/>
    <xf numFmtId="0" fontId="3" fillId="2" borderId="18" xfId="0" applyFont="1" applyFill="1" applyBorder="1" applyAlignment="1">
      <alignment horizontal="left" vertical="top" wrapText="1"/>
    </xf>
    <xf numFmtId="2" fontId="80" fillId="2" borderId="6" xfId="0" applyNumberFormat="1" applyFont="1" applyFill="1" applyBorder="1"/>
    <xf numFmtId="0" fontId="81" fillId="2" borderId="6" xfId="0" applyFont="1" applyFill="1" applyBorder="1"/>
    <xf numFmtId="0" fontId="82" fillId="2" borderId="6" xfId="0" applyFont="1" applyFill="1" applyBorder="1"/>
    <xf numFmtId="0" fontId="0" fillId="0" borderId="0" xfId="0" applyAlignment="1">
      <alignment horizontal="center"/>
    </xf>
    <xf numFmtId="11" fontId="1" fillId="0" borderId="0" xfId="0" applyNumberFormat="1" applyFont="1" applyAlignment="1">
      <alignment horizontal="center"/>
    </xf>
    <xf numFmtId="0" fontId="1" fillId="2" borderId="8" xfId="0" applyFont="1" applyFill="1" applyBorder="1" applyAlignment="1">
      <alignment horizontal="left" vertical="top"/>
    </xf>
    <xf numFmtId="0" fontId="9" fillId="0" borderId="9" xfId="0" applyFont="1" applyBorder="1"/>
    <xf numFmtId="0" fontId="9" fillId="0" borderId="12" xfId="0" applyFont="1" applyBorder="1"/>
    <xf numFmtId="0" fontId="16" fillId="8" borderId="27" xfId="0" applyFont="1" applyFill="1" applyBorder="1" applyAlignment="1">
      <alignment vertical="center"/>
    </xf>
    <xf numFmtId="0" fontId="9" fillId="0" borderId="31" xfId="0" applyFont="1" applyBorder="1"/>
    <xf numFmtId="0" fontId="16" fillId="8" borderId="28" xfId="0" applyFont="1" applyFill="1" applyBorder="1" applyAlignment="1">
      <alignment horizontal="center" vertical="center"/>
    </xf>
    <xf numFmtId="0" fontId="9" fillId="0" borderId="28" xfId="0" applyFont="1" applyBorder="1"/>
    <xf numFmtId="0" fontId="9" fillId="0" borderId="29" xfId="0" applyFont="1" applyBorder="1"/>
    <xf numFmtId="0" fontId="16" fillId="8" borderId="30" xfId="0" applyFont="1" applyFill="1" applyBorder="1" applyAlignment="1">
      <alignment horizontal="center" vertical="center"/>
    </xf>
    <xf numFmtId="0" fontId="16" fillId="8" borderId="0" xfId="0" applyFont="1" applyFill="1" applyAlignment="1">
      <alignment horizontal="left" vertical="center"/>
    </xf>
    <xf numFmtId="0" fontId="0" fillId="0" borderId="0" xfId="0"/>
    <xf numFmtId="0" fontId="16" fillId="8" borderId="30" xfId="0" applyFont="1" applyFill="1" applyBorder="1" applyAlignment="1">
      <alignment vertical="center"/>
    </xf>
    <xf numFmtId="0" fontId="18" fillId="9" borderId="30" xfId="0" applyFont="1" applyFill="1" applyBorder="1" applyAlignment="1">
      <alignment vertical="center"/>
    </xf>
    <xf numFmtId="0" fontId="19" fillId="0" borderId="8" xfId="0" applyFont="1" applyBorder="1" applyAlignment="1">
      <alignment vertical="center" wrapText="1"/>
    </xf>
    <xf numFmtId="0" fontId="19" fillId="0" borderId="8" xfId="0" applyFont="1" applyBorder="1" applyAlignment="1">
      <alignment vertical="center"/>
    </xf>
    <xf numFmtId="0" fontId="22" fillId="0" borderId="33" xfId="0" applyFont="1" applyBorder="1" applyAlignment="1">
      <alignment horizontal="center" vertical="center" wrapText="1"/>
    </xf>
    <xf numFmtId="0" fontId="9" fillId="0" borderId="34" xfId="0" applyFont="1" applyBorder="1"/>
    <xf numFmtId="0" fontId="9" fillId="0" borderId="35" xfId="0" applyFont="1" applyBorder="1"/>
    <xf numFmtId="0" fontId="28" fillId="0" borderId="30" xfId="0" applyFont="1" applyBorder="1" applyAlignment="1">
      <alignment horizontal="center"/>
    </xf>
    <xf numFmtId="0" fontId="28" fillId="0" borderId="8" xfId="0" applyFont="1" applyBorder="1" applyAlignment="1">
      <alignment vertical="center" wrapText="1"/>
    </xf>
    <xf numFmtId="9" fontId="28" fillId="0" borderId="9" xfId="0" applyNumberFormat="1" applyFont="1" applyBorder="1" applyAlignment="1">
      <alignment horizontal="center" vertical="center"/>
    </xf>
    <xf numFmtId="3" fontId="28" fillId="0" borderId="9" xfId="0" applyNumberFormat="1" applyFont="1" applyBorder="1" applyAlignment="1">
      <alignment horizontal="center" vertical="center"/>
    </xf>
    <xf numFmtId="0" fontId="28" fillId="0" borderId="9" xfId="0" applyFont="1" applyBorder="1" applyAlignment="1">
      <alignment horizontal="center" vertical="center"/>
    </xf>
    <xf numFmtId="0" fontId="28" fillId="0" borderId="8" xfId="0" applyFont="1" applyBorder="1" applyAlignment="1">
      <alignment wrapText="1"/>
    </xf>
    <xf numFmtId="0" fontId="28" fillId="0" borderId="9" xfId="0" applyFont="1" applyBorder="1" applyAlignment="1">
      <alignment horizontal="center" vertical="center" wrapText="1"/>
    </xf>
    <xf numFmtId="0" fontId="29" fillId="0" borderId="30" xfId="0" applyFont="1" applyBorder="1" applyAlignment="1">
      <alignment horizontal="left"/>
    </xf>
    <xf numFmtId="0" fontId="28" fillId="0" borderId="9" xfId="0" applyFont="1" applyBorder="1" applyAlignment="1">
      <alignment vertical="center" wrapText="1"/>
    </xf>
    <xf numFmtId="0" fontId="33" fillId="2" borderId="33" xfId="0" applyFont="1" applyFill="1" applyBorder="1" applyAlignment="1">
      <alignment vertical="center"/>
    </xf>
    <xf numFmtId="0" fontId="31" fillId="4" borderId="38" xfId="0" applyFont="1" applyFill="1" applyBorder="1" applyAlignment="1">
      <alignment horizontal="center"/>
    </xf>
    <xf numFmtId="0" fontId="9" fillId="0" borderId="39" xfId="0" applyFont="1" applyBorder="1"/>
    <xf numFmtId="0" fontId="9" fillId="0" borderId="40" xfId="0" applyFont="1" applyBorder="1"/>
    <xf numFmtId="0" fontId="33" fillId="4" borderId="38" xfId="0" applyFont="1" applyFill="1" applyBorder="1" applyAlignment="1">
      <alignment horizontal="center"/>
    </xf>
    <xf numFmtId="0" fontId="36" fillId="9" borderId="45" xfId="0" applyFont="1" applyFill="1" applyBorder="1" applyAlignment="1">
      <alignment horizontal="center"/>
    </xf>
    <xf numFmtId="0" fontId="9" fillId="0" borderId="45" xfId="0" applyFont="1" applyBorder="1"/>
    <xf numFmtId="0" fontId="9" fillId="0" borderId="46" xfId="0" applyFont="1" applyBorder="1"/>
    <xf numFmtId="0" fontId="33" fillId="9" borderId="45" xfId="0" applyFont="1" applyFill="1" applyBorder="1" applyAlignment="1">
      <alignment horizontal="center"/>
    </xf>
    <xf numFmtId="0" fontId="31" fillId="2" borderId="33" xfId="0" applyFont="1" applyFill="1" applyBorder="1" applyAlignment="1">
      <alignment vertical="center"/>
    </xf>
    <xf numFmtId="0" fontId="31" fillId="11" borderId="33" xfId="0" applyFont="1" applyFill="1" applyBorder="1" applyAlignment="1">
      <alignment vertical="center" wrapText="1"/>
    </xf>
    <xf numFmtId="0" fontId="31" fillId="11" borderId="52" xfId="0" applyFont="1" applyFill="1" applyBorder="1" applyAlignment="1">
      <alignment horizontal="center"/>
    </xf>
    <xf numFmtId="0" fontId="9" fillId="0" borderId="53" xfId="0" applyFont="1" applyBorder="1"/>
    <xf numFmtId="0" fontId="9" fillId="0" borderId="54" xfId="0" applyFont="1" applyBorder="1"/>
    <xf numFmtId="0" fontId="33" fillId="11" borderId="55" xfId="0" applyFont="1" applyFill="1" applyBorder="1" applyAlignment="1">
      <alignment horizontal="center"/>
    </xf>
    <xf numFmtId="0" fontId="9" fillId="0" borderId="56" xfId="0" applyFont="1" applyBorder="1"/>
    <xf numFmtId="0" fontId="9" fillId="0" borderId="57" xfId="0" applyFont="1" applyBorder="1"/>
    <xf numFmtId="0" fontId="33" fillId="9" borderId="53" xfId="0" applyFont="1" applyFill="1" applyBorder="1" applyAlignment="1">
      <alignment horizontal="center"/>
    </xf>
    <xf numFmtId="0" fontId="31" fillId="2" borderId="52" xfId="0" applyFont="1" applyFill="1" applyBorder="1" applyAlignment="1">
      <alignment horizontal="center"/>
    </xf>
    <xf numFmtId="0" fontId="33" fillId="2" borderId="55" xfId="0" applyFont="1" applyFill="1" applyBorder="1" applyAlignment="1">
      <alignment horizontal="center"/>
    </xf>
    <xf numFmtId="0" fontId="31" fillId="2" borderId="117" xfId="0" applyFont="1" applyFill="1" applyBorder="1" applyAlignment="1">
      <alignment horizontal="center"/>
    </xf>
    <xf numFmtId="0" fontId="9" fillId="0" borderId="118" xfId="0" applyFont="1" applyBorder="1"/>
    <xf numFmtId="0" fontId="9" fillId="0" borderId="119" xfId="0" applyFont="1" applyBorder="1"/>
    <xf numFmtId="0" fontId="33" fillId="9" borderId="107" xfId="0" applyFont="1" applyFill="1" applyBorder="1" applyAlignment="1">
      <alignment horizontal="center"/>
    </xf>
    <xf numFmtId="0" fontId="9" fillId="0" borderId="108" xfId="0" applyFont="1" applyBorder="1"/>
    <xf numFmtId="0" fontId="9" fillId="0" borderId="109" xfId="0" applyFont="1" applyBorder="1"/>
    <xf numFmtId="0" fontId="30" fillId="2" borderId="78" xfId="0" applyFont="1" applyFill="1" applyBorder="1" applyAlignment="1">
      <alignment horizontal="left" vertical="top"/>
    </xf>
    <xf numFmtId="0" fontId="9" fillId="0" borderId="73" xfId="0" applyFont="1" applyBorder="1"/>
    <xf numFmtId="0" fontId="30" fillId="9" borderId="80" xfId="0" applyFont="1" applyFill="1" applyBorder="1" applyAlignment="1">
      <alignment horizontal="left" vertical="center"/>
    </xf>
    <xf numFmtId="0" fontId="9" fillId="0" borderId="76" xfId="0" applyFont="1" applyBorder="1"/>
    <xf numFmtId="0" fontId="30" fillId="2" borderId="99" xfId="0" applyFont="1" applyFill="1" applyBorder="1" applyAlignment="1">
      <alignment horizontal="left" vertical="center"/>
    </xf>
    <xf numFmtId="0" fontId="9" fillId="0" borderId="78" xfId="0" applyFont="1" applyBorder="1"/>
    <xf numFmtId="0" fontId="30" fillId="9" borderId="101" xfId="0" applyFont="1" applyFill="1" applyBorder="1" applyAlignment="1">
      <alignment horizontal="left" vertical="center"/>
    </xf>
    <xf numFmtId="0" fontId="9" fillId="0" borderId="80" xfId="0" applyFont="1" applyBorder="1"/>
    <xf numFmtId="0" fontId="33" fillId="2" borderId="116" xfId="0" applyFont="1" applyFill="1" applyBorder="1" applyAlignment="1">
      <alignment vertical="center"/>
    </xf>
    <xf numFmtId="0" fontId="9" fillId="0" borderId="120" xfId="0" applyFont="1" applyBorder="1"/>
    <xf numFmtId="0" fontId="32" fillId="15" borderId="30" xfId="0" applyFont="1" applyFill="1" applyBorder="1" applyAlignment="1">
      <alignment horizontal="center"/>
    </xf>
    <xf numFmtId="0" fontId="42" fillId="17" borderId="112" xfId="0" applyFont="1" applyFill="1" applyBorder="1" applyAlignment="1">
      <alignment horizontal="left" vertical="top" wrapText="1"/>
    </xf>
    <xf numFmtId="0" fontId="9" fillId="0" borderId="100" xfId="0" applyFont="1" applyBorder="1"/>
    <xf numFmtId="0" fontId="9" fillId="0" borderId="127" xfId="0" applyFont="1" applyBorder="1"/>
    <xf numFmtId="0" fontId="9" fillId="0" borderId="115" xfId="0" applyFont="1" applyBorder="1"/>
    <xf numFmtId="0" fontId="9" fillId="0" borderId="90" xfId="0" applyFont="1" applyBorder="1"/>
    <xf numFmtId="0" fontId="9" fillId="0" borderId="89" xfId="0" applyFont="1" applyBorder="1"/>
    <xf numFmtId="0" fontId="32" fillId="15" borderId="128" xfId="0" applyFont="1" applyFill="1" applyBorder="1" applyAlignment="1">
      <alignment horizontal="center"/>
    </xf>
    <xf numFmtId="0" fontId="9" fillId="0" borderId="129" xfId="0" applyFont="1" applyBorder="1"/>
    <xf numFmtId="0" fontId="9" fillId="0" borderId="130" xfId="0" applyFont="1" applyBorder="1"/>
    <xf numFmtId="0" fontId="41" fillId="18" borderId="131" xfId="0" applyFont="1" applyFill="1" applyBorder="1" applyAlignment="1">
      <alignment horizontal="center" vertical="center" wrapText="1"/>
    </xf>
    <xf numFmtId="0" fontId="9" fillId="0" borderId="132" xfId="0" applyFont="1" applyBorder="1"/>
    <xf numFmtId="0" fontId="9" fillId="0" borderId="133" xfId="0" applyFont="1" applyBorder="1"/>
    <xf numFmtId="0" fontId="41" fillId="21" borderId="141" xfId="0" applyFont="1" applyFill="1" applyBorder="1" applyAlignment="1">
      <alignment horizontal="center" vertical="center" wrapText="1"/>
    </xf>
    <xf numFmtId="0" fontId="9" fillId="0" borderId="94" xfId="0" applyFont="1" applyBorder="1"/>
    <xf numFmtId="0" fontId="9" fillId="0" borderId="41" xfId="0" applyFont="1" applyBorder="1"/>
    <xf numFmtId="0" fontId="48" fillId="21" borderId="38" xfId="0" applyFont="1" applyFill="1" applyBorder="1" applyAlignment="1">
      <alignment horizontal="center"/>
    </xf>
    <xf numFmtId="0" fontId="47" fillId="0" borderId="38" xfId="0" applyFont="1" applyBorder="1"/>
    <xf numFmtId="0" fontId="47" fillId="0" borderId="38" xfId="0" applyFont="1" applyBorder="1" applyAlignment="1">
      <alignment vertical="center" wrapText="1"/>
    </xf>
    <xf numFmtId="0" fontId="47" fillId="0" borderId="148" xfId="0" applyFont="1" applyBorder="1" applyAlignment="1">
      <alignment vertical="center" wrapText="1"/>
    </xf>
    <xf numFmtId="0" fontId="9" fillId="0" borderId="103" xfId="0" applyFont="1" applyBorder="1"/>
    <xf numFmtId="0" fontId="9" fillId="0" borderId="149" xfId="0" applyFont="1" applyBorder="1"/>
    <xf numFmtId="0" fontId="9" fillId="0" borderId="86" xfId="0" applyFont="1" applyBorder="1"/>
    <xf numFmtId="0" fontId="9" fillId="0" borderId="79" xfId="0" applyFont="1" applyBorder="1"/>
    <xf numFmtId="0" fontId="8" fillId="21" borderId="150" xfId="0" applyFont="1" applyFill="1" applyBorder="1" applyAlignment="1">
      <alignment horizontal="center" vertical="center" wrapText="1"/>
    </xf>
    <xf numFmtId="0" fontId="9" fillId="0" borderId="151" xfId="0" applyFont="1" applyBorder="1"/>
    <xf numFmtId="0" fontId="9" fillId="0" borderId="152" xfId="0" applyFont="1" applyBorder="1"/>
    <xf numFmtId="0" fontId="45" fillId="2" borderId="154" xfId="0" applyFont="1" applyFill="1" applyBorder="1" applyAlignment="1">
      <alignment horizontal="right" vertical="center"/>
    </xf>
    <xf numFmtId="0" fontId="9" fillId="0" borderId="158" xfId="0" applyFont="1" applyBorder="1"/>
    <xf numFmtId="0" fontId="9" fillId="0" borderId="164" xfId="0" applyFont="1" applyBorder="1"/>
    <xf numFmtId="0" fontId="45" fillId="2" borderId="154" xfId="0" applyFont="1" applyFill="1" applyBorder="1" applyAlignment="1">
      <alignment horizontal="right" vertical="center" wrapText="1"/>
    </xf>
    <xf numFmtId="0" fontId="45" fillId="2" borderId="168" xfId="0" applyFont="1" applyFill="1" applyBorder="1" applyAlignment="1">
      <alignment horizontal="right" vertical="center"/>
    </xf>
    <xf numFmtId="0" fontId="9" fillId="0" borderId="170" xfId="0" applyFont="1" applyBorder="1"/>
    <xf numFmtId="0" fontId="9" fillId="0" borderId="171" xfId="0" applyFont="1" applyBorder="1"/>
    <xf numFmtId="0" fontId="48" fillId="21" borderId="144" xfId="0" applyFont="1" applyFill="1" applyBorder="1"/>
    <xf numFmtId="0" fontId="9" fillId="0" borderId="144" xfId="0" applyFont="1" applyBorder="1"/>
    <xf numFmtId="3" fontId="47" fillId="0" borderId="144" xfId="0" applyNumberFormat="1" applyFont="1" applyBorder="1" applyAlignment="1">
      <alignment horizontal="left" wrapText="1"/>
    </xf>
    <xf numFmtId="0" fontId="9" fillId="0" borderId="188" xfId="0" applyFont="1" applyBorder="1"/>
    <xf numFmtId="3" fontId="47" fillId="0" borderId="144" xfId="0" applyNumberFormat="1" applyFont="1" applyBorder="1" applyAlignment="1">
      <alignment horizontal="left" vertical="center" wrapText="1"/>
    </xf>
    <xf numFmtId="3" fontId="47" fillId="0" borderId="64" xfId="0" applyNumberFormat="1" applyFont="1" applyBorder="1" applyAlignment="1">
      <alignment horizontal="left" wrapText="1"/>
    </xf>
    <xf numFmtId="0" fontId="9" fillId="0" borderId="64" xfId="0" applyFont="1" applyBorder="1"/>
    <xf numFmtId="0" fontId="9" fillId="0" borderId="189" xfId="0" applyFont="1" applyBorder="1"/>
    <xf numFmtId="41" fontId="41" fillId="18" borderId="132" xfId="0" applyNumberFormat="1" applyFont="1" applyFill="1" applyBorder="1" applyAlignment="1">
      <alignment horizontal="center" vertical="center" wrapText="1"/>
    </xf>
    <xf numFmtId="0" fontId="48" fillId="21" borderId="144" xfId="0" applyFont="1" applyFill="1" applyBorder="1" applyAlignment="1">
      <alignment horizontal="center"/>
    </xf>
    <xf numFmtId="0" fontId="32" fillId="15" borderId="30" xfId="0" applyFont="1" applyFill="1" applyBorder="1"/>
    <xf numFmtId="0" fontId="41" fillId="21" borderId="185" xfId="0" applyFont="1" applyFill="1" applyBorder="1" applyAlignment="1">
      <alignment horizontal="center" vertical="center" wrapText="1"/>
    </xf>
    <xf numFmtId="0" fontId="9" fillId="0" borderId="186" xfId="0" applyFont="1" applyBorder="1"/>
    <xf numFmtId="0" fontId="9" fillId="0" borderId="187" xfId="0" applyFont="1" applyBorder="1"/>
    <xf numFmtId="0" fontId="41" fillId="16" borderId="37" xfId="0" applyFont="1" applyFill="1" applyBorder="1" applyAlignment="1">
      <alignment horizontal="center" vertical="center" wrapText="1"/>
    </xf>
    <xf numFmtId="0" fontId="52" fillId="15" borderId="38" xfId="0" applyFont="1" applyFill="1" applyBorder="1" applyAlignment="1">
      <alignment horizontal="center"/>
    </xf>
    <xf numFmtId="0" fontId="10" fillId="15" borderId="94" xfId="0" applyFont="1" applyFill="1" applyBorder="1" applyAlignment="1">
      <alignment horizontal="center"/>
    </xf>
    <xf numFmtId="0" fontId="52" fillId="15" borderId="39" xfId="0" applyFont="1" applyFill="1" applyBorder="1" applyAlignment="1">
      <alignment horizontal="center"/>
    </xf>
    <xf numFmtId="0" fontId="45" fillId="5" borderId="38" xfId="0" applyFont="1" applyFill="1" applyBorder="1" applyAlignment="1">
      <alignment horizontal="center"/>
    </xf>
    <xf numFmtId="0" fontId="52" fillId="15" borderId="38" xfId="0" applyFont="1" applyFill="1" applyBorder="1" applyAlignment="1">
      <alignment horizontal="center" vertical="center" wrapText="1"/>
    </xf>
    <xf numFmtId="0" fontId="43" fillId="15" borderId="112" xfId="0" applyFont="1" applyFill="1" applyBorder="1" applyAlignment="1">
      <alignment horizontal="center"/>
    </xf>
    <xf numFmtId="0" fontId="43" fillId="15" borderId="30" xfId="0" applyFont="1" applyFill="1" applyBorder="1" applyAlignment="1">
      <alignment horizontal="center"/>
    </xf>
    <xf numFmtId="0" fontId="54" fillId="15" borderId="0" xfId="0" applyFont="1" applyFill="1" applyAlignment="1">
      <alignment horizontal="center"/>
    </xf>
    <xf numFmtId="0" fontId="41" fillId="21" borderId="30" xfId="0" applyFont="1" applyFill="1" applyBorder="1" applyAlignment="1">
      <alignment horizontal="center" vertical="center" wrapText="1"/>
    </xf>
    <xf numFmtId="10" fontId="32" fillId="2" borderId="33" xfId="0" applyNumberFormat="1" applyFont="1" applyFill="1" applyBorder="1" applyAlignment="1">
      <alignment horizontal="center" vertical="center"/>
    </xf>
    <xf numFmtId="0" fontId="13" fillId="15" borderId="30" xfId="0" applyFont="1" applyFill="1" applyBorder="1" applyAlignment="1">
      <alignment horizontal="center"/>
    </xf>
    <xf numFmtId="0" fontId="8" fillId="18" borderId="30" xfId="0" applyFont="1" applyFill="1" applyBorder="1" applyAlignment="1">
      <alignment horizontal="center" vertical="center" wrapText="1"/>
    </xf>
    <xf numFmtId="0" fontId="56" fillId="0" borderId="132" xfId="0" applyFont="1" applyBorder="1"/>
    <xf numFmtId="0" fontId="9" fillId="0" borderId="184" xfId="0" applyFont="1" applyBorder="1"/>
    <xf numFmtId="4" fontId="32" fillId="2" borderId="209" xfId="0" applyNumberFormat="1" applyFont="1" applyFill="1" applyBorder="1" applyAlignment="1">
      <alignment horizontal="center" vertical="center"/>
    </xf>
    <xf numFmtId="0" fontId="9" fillId="0" borderId="210" xfId="0" applyFont="1" applyBorder="1"/>
    <xf numFmtId="0" fontId="9" fillId="0" borderId="183" xfId="0" applyFont="1" applyBorder="1"/>
    <xf numFmtId="3" fontId="32" fillId="2" borderId="209" xfId="0" applyNumberFormat="1" applyFont="1" applyFill="1" applyBorder="1" applyAlignment="1">
      <alignment horizontal="center" vertical="center"/>
    </xf>
    <xf numFmtId="3" fontId="32" fillId="7" borderId="128" xfId="0" applyNumberFormat="1" applyFont="1" applyFill="1" applyBorder="1" applyAlignment="1">
      <alignment horizontal="center" vertical="center"/>
    </xf>
    <xf numFmtId="0" fontId="9" fillId="0" borderId="61" xfId="0" applyFont="1" applyBorder="1"/>
    <xf numFmtId="0" fontId="9" fillId="0" borderId="131" xfId="0" applyFont="1" applyBorder="1"/>
    <xf numFmtId="3" fontId="32" fillId="7" borderId="8" xfId="0" applyNumberFormat="1" applyFont="1" applyFill="1" applyBorder="1" applyAlignment="1">
      <alignment horizontal="center" vertical="center"/>
    </xf>
    <xf numFmtId="0" fontId="41" fillId="18" borderId="117" xfId="0" applyFont="1" applyFill="1" applyBorder="1" applyAlignment="1">
      <alignment horizontal="center" vertical="center" wrapText="1"/>
    </xf>
    <xf numFmtId="0" fontId="32" fillId="2" borderId="8" xfId="0" applyFont="1" applyFill="1" applyBorder="1" applyAlignment="1">
      <alignment vertical="center"/>
    </xf>
    <xf numFmtId="0" fontId="48" fillId="21" borderId="30" xfId="0" applyFont="1" applyFill="1" applyBorder="1" applyAlignment="1">
      <alignment horizontal="center"/>
    </xf>
    <xf numFmtId="0" fontId="41" fillId="18" borderId="212" xfId="0" applyFont="1" applyFill="1" applyBorder="1" applyAlignment="1">
      <alignment horizontal="center" vertical="center" wrapText="1"/>
    </xf>
    <xf numFmtId="0" fontId="4" fillId="15" borderId="128" xfId="0" applyFont="1" applyFill="1" applyBorder="1" applyAlignment="1">
      <alignment horizontal="center" vertical="center" wrapText="1"/>
    </xf>
    <xf numFmtId="0" fontId="32" fillId="2" borderId="30" xfId="0" applyFont="1" applyFill="1" applyBorder="1"/>
    <xf numFmtId="0" fontId="32" fillId="28" borderId="27" xfId="0" applyFont="1" applyFill="1" applyBorder="1"/>
    <xf numFmtId="3" fontId="47" fillId="0" borderId="79" xfId="0" applyNumberFormat="1" applyFont="1" applyBorder="1" applyAlignment="1">
      <alignment horizontal="center"/>
    </xf>
    <xf numFmtId="0" fontId="13" fillId="29" borderId="28" xfId="0" applyFont="1" applyFill="1" applyBorder="1" applyAlignment="1">
      <alignment horizontal="center"/>
    </xf>
    <xf numFmtId="0" fontId="47" fillId="29" borderId="30" xfId="0" applyFont="1" applyFill="1" applyBorder="1" applyAlignment="1">
      <alignment horizontal="center"/>
    </xf>
    <xf numFmtId="0" fontId="3" fillId="2" borderId="8" xfId="0" applyFont="1" applyFill="1" applyBorder="1" applyAlignment="1">
      <alignment horizontal="left" vertical="top" wrapText="1"/>
    </xf>
    <xf numFmtId="0" fontId="59" fillId="21" borderId="0" xfId="0" applyFont="1" applyFill="1"/>
    <xf numFmtId="0" fontId="41" fillId="21" borderId="117" xfId="0" applyFont="1" applyFill="1" applyBorder="1" applyAlignment="1">
      <alignment horizontal="center" vertical="center" wrapText="1"/>
    </xf>
    <xf numFmtId="0" fontId="48" fillId="21" borderId="117" xfId="0" applyFont="1" applyFill="1" applyBorder="1" applyAlignment="1">
      <alignment horizontal="center"/>
    </xf>
    <xf numFmtId="4" fontId="13" fillId="0" borderId="117" xfId="0" applyNumberFormat="1" applyFont="1" applyBorder="1" applyAlignment="1">
      <alignment horizontal="left"/>
    </xf>
    <xf numFmtId="4" fontId="47" fillId="0" borderId="117" xfId="0" applyNumberFormat="1" applyFont="1" applyBorder="1" applyAlignment="1">
      <alignment horizontal="left"/>
    </xf>
    <xf numFmtId="0" fontId="65" fillId="0" borderId="0" xfId="0" applyFont="1"/>
    <xf numFmtId="0" fontId="45" fillId="28" borderId="27" xfId="0" applyFont="1" applyFill="1" applyBorder="1" applyAlignment="1">
      <alignment horizontal="center"/>
    </xf>
    <xf numFmtId="0" fontId="59" fillId="21" borderId="117" xfId="0" applyFont="1" applyFill="1" applyBorder="1" applyAlignment="1">
      <alignment horizontal="center"/>
    </xf>
    <xf numFmtId="0" fontId="41" fillId="18" borderId="150" xfId="0" applyFont="1" applyFill="1" applyBorder="1" applyAlignment="1">
      <alignment horizontal="center" vertical="center" wrapText="1"/>
    </xf>
    <xf numFmtId="0" fontId="13" fillId="28" borderId="27" xfId="0" applyFont="1" applyFill="1" applyBorder="1" applyAlignment="1">
      <alignment horizontal="center"/>
    </xf>
    <xf numFmtId="175" fontId="13" fillId="28" borderId="27" xfId="0" applyNumberFormat="1" applyFont="1" applyFill="1" applyBorder="1" applyAlignment="1">
      <alignment horizontal="center"/>
    </xf>
    <xf numFmtId="0" fontId="9" fillId="0" borderId="214" xfId="0" applyFont="1" applyBorder="1"/>
    <xf numFmtId="4" fontId="47" fillId="9" borderId="117" xfId="0" applyNumberFormat="1" applyFont="1" applyFill="1" applyBorder="1" applyAlignment="1">
      <alignment horizontal="left"/>
    </xf>
    <xf numFmtId="0" fontId="52" fillId="15" borderId="117" xfId="0" applyFont="1" applyFill="1" applyBorder="1" applyAlignment="1">
      <alignment horizontal="center" vertical="center" wrapText="1"/>
    </xf>
    <xf numFmtId="0" fontId="10" fillId="15" borderId="116" xfId="0" applyFont="1" applyFill="1" applyBorder="1" applyAlignment="1">
      <alignment horizontal="center" vertical="center" wrapText="1"/>
    </xf>
    <xf numFmtId="0" fontId="9" fillId="0" borderId="224" xfId="0" applyFont="1" applyBorder="1"/>
    <xf numFmtId="0" fontId="9" fillId="0" borderId="225" xfId="0" applyFont="1" applyBorder="1"/>
    <xf numFmtId="0" fontId="32" fillId="9" borderId="227" xfId="0" applyFont="1" applyFill="1" applyBorder="1" applyAlignment="1">
      <alignment vertical="center"/>
    </xf>
    <xf numFmtId="0" fontId="9" fillId="0" borderId="228" xfId="0" applyFont="1" applyBorder="1"/>
    <xf numFmtId="0" fontId="32" fillId="2" borderId="27" xfId="0" applyFont="1" applyFill="1" applyBorder="1" applyAlignment="1">
      <alignment vertical="center"/>
    </xf>
    <xf numFmtId="0" fontId="9" fillId="0" borderId="226" xfId="0" applyFont="1" applyBorder="1"/>
    <xf numFmtId="0" fontId="32" fillId="9" borderId="27" xfId="0" applyFont="1" applyFill="1" applyBorder="1" applyAlignment="1">
      <alignment vertical="center"/>
    </xf>
    <xf numFmtId="0" fontId="4" fillId="15" borderId="117" xfId="0" applyFont="1" applyFill="1" applyBorder="1" applyAlignment="1">
      <alignment horizontal="center" vertical="center" wrapText="1"/>
    </xf>
    <xf numFmtId="4" fontId="13" fillId="0" borderId="117" xfId="0" applyNumberFormat="1" applyFont="1" applyBorder="1" applyAlignment="1">
      <alignment horizontal="left" vertical="center"/>
    </xf>
    <xf numFmtId="4" fontId="47" fillId="0" borderId="117" xfId="0" applyNumberFormat="1" applyFont="1" applyBorder="1" applyAlignment="1">
      <alignment horizontal="left" vertical="center"/>
    </xf>
    <xf numFmtId="0" fontId="42" fillId="5" borderId="112" xfId="0" applyFont="1" applyFill="1" applyBorder="1" applyAlignment="1">
      <alignment horizontal="left" vertical="top" wrapText="1"/>
    </xf>
    <xf numFmtId="0" fontId="4" fillId="15" borderId="117" xfId="0" applyFont="1" applyFill="1" applyBorder="1" applyAlignment="1">
      <alignment horizontal="left" vertical="center" wrapText="1"/>
    </xf>
    <xf numFmtId="0" fontId="4" fillId="15" borderId="118" xfId="0" applyFont="1" applyFill="1" applyBorder="1" applyAlignment="1">
      <alignment horizontal="left" vertical="center" wrapText="1"/>
    </xf>
    <xf numFmtId="41" fontId="32" fillId="2" borderId="117" xfId="0" applyNumberFormat="1" applyFont="1" applyFill="1" applyBorder="1" applyAlignment="1">
      <alignment horizontal="left" wrapText="1"/>
    </xf>
    <xf numFmtId="0" fontId="66" fillId="2" borderId="8" xfId="0" applyFont="1" applyFill="1" applyBorder="1" applyAlignment="1">
      <alignment horizontal="center" vertical="center" wrapText="1"/>
    </xf>
    <xf numFmtId="0" fontId="32" fillId="2" borderId="117" xfId="0" applyFont="1" applyFill="1" applyBorder="1" applyAlignment="1">
      <alignment vertical="center"/>
    </xf>
    <xf numFmtId="0" fontId="45" fillId="2" borderId="117" xfId="0" applyFont="1" applyFill="1" applyBorder="1"/>
    <xf numFmtId="0" fontId="45" fillId="2" borderId="117" xfId="0" applyFont="1" applyFill="1" applyBorder="1" applyAlignment="1">
      <alignment vertical="center"/>
    </xf>
    <xf numFmtId="0" fontId="4" fillId="15" borderId="224" xfId="0" applyFont="1" applyFill="1" applyBorder="1" applyAlignment="1">
      <alignment horizontal="center" vertical="center" wrapText="1"/>
    </xf>
    <xf numFmtId="41" fontId="45" fillId="2" borderId="117" xfId="0" applyNumberFormat="1" applyFont="1" applyFill="1" applyBorder="1" applyAlignment="1">
      <alignment horizontal="left" wrapText="1"/>
    </xf>
    <xf numFmtId="41" fontId="45" fillId="2" borderId="117" xfId="0" applyNumberFormat="1" applyFont="1" applyFill="1" applyBorder="1" applyAlignment="1">
      <alignment horizontal="left"/>
    </xf>
    <xf numFmtId="0" fontId="32" fillId="2" borderId="117" xfId="0" applyFont="1" applyFill="1" applyBorder="1"/>
    <xf numFmtId="41" fontId="32" fillId="2" borderId="117" xfId="0" applyNumberFormat="1" applyFont="1" applyFill="1" applyBorder="1" applyAlignment="1">
      <alignment horizontal="left"/>
    </xf>
    <xf numFmtId="0" fontId="41" fillId="16" borderId="37" xfId="0" applyFont="1" applyFill="1" applyBorder="1" applyAlignment="1">
      <alignment horizontal="left" vertical="center" wrapText="1"/>
    </xf>
    <xf numFmtId="0" fontId="10" fillId="15" borderId="117" xfId="0" applyFont="1" applyFill="1" applyBorder="1" applyAlignment="1">
      <alignment horizontal="center"/>
    </xf>
    <xf numFmtId="0" fontId="4" fillId="15" borderId="232" xfId="0" applyFont="1" applyFill="1" applyBorder="1" applyAlignment="1">
      <alignment horizontal="center" vertical="center" wrapText="1"/>
    </xf>
    <xf numFmtId="0" fontId="9" fillId="0" borderId="233" xfId="0" applyFont="1" applyBorder="1"/>
    <xf numFmtId="0" fontId="9" fillId="0" borderId="234" xfId="0" applyFont="1" applyBorder="1"/>
    <xf numFmtId="0" fontId="8" fillId="18" borderId="117" xfId="0" applyFont="1" applyFill="1" applyBorder="1" applyAlignment="1">
      <alignment horizontal="center" vertical="center" wrapText="1"/>
    </xf>
    <xf numFmtId="0" fontId="47" fillId="15" borderId="30" xfId="0" applyFont="1" applyFill="1" applyBorder="1" applyAlignment="1">
      <alignment horizontal="center"/>
    </xf>
    <xf numFmtId="0" fontId="4" fillId="15" borderId="30" xfId="0" applyFont="1" applyFill="1" applyBorder="1" applyAlignment="1">
      <alignment horizontal="center" vertical="center" wrapText="1"/>
    </xf>
    <xf numFmtId="41" fontId="32" fillId="2" borderId="30" xfId="0" applyNumberFormat="1" applyFont="1" applyFill="1" applyBorder="1" applyAlignment="1">
      <alignment horizontal="left"/>
    </xf>
    <xf numFmtId="0" fontId="41" fillId="18" borderId="30" xfId="0" applyFont="1" applyFill="1" applyBorder="1" applyAlignment="1">
      <alignment horizontal="center" vertical="center" wrapText="1"/>
    </xf>
    <xf numFmtId="0" fontId="41" fillId="18" borderId="235" xfId="0" applyFont="1" applyFill="1" applyBorder="1" applyAlignment="1">
      <alignment horizontal="center" vertical="center" wrapText="1"/>
    </xf>
    <xf numFmtId="0" fontId="9" fillId="0" borderId="236" xfId="0" applyFont="1" applyBorder="1"/>
    <xf numFmtId="0" fontId="9" fillId="0" borderId="237" xfId="0" applyFont="1" applyBorder="1"/>
    <xf numFmtId="0" fontId="8" fillId="18" borderId="150" xfId="0" applyFont="1" applyFill="1" applyBorder="1" applyAlignment="1">
      <alignment horizontal="center" vertical="center" wrapText="1"/>
    </xf>
    <xf numFmtId="0" fontId="9" fillId="0" borderId="213" xfId="0" applyFont="1" applyBorder="1"/>
    <xf numFmtId="0" fontId="80" fillId="2" borderId="37" xfId="0" applyFont="1" applyFill="1" applyBorder="1" applyAlignment="1">
      <alignment horizontal="center" wrapText="1"/>
    </xf>
    <xf numFmtId="0" fontId="80" fillId="2" borderId="37" xfId="0" applyFont="1" applyFill="1" applyBorder="1" applyAlignment="1">
      <alignment horizontal="center"/>
    </xf>
    <xf numFmtId="0" fontId="3" fillId="2" borderId="8" xfId="0" applyFont="1" applyFill="1" applyBorder="1" applyAlignment="1">
      <alignment horizontal="center" vertical="center" wrapText="1"/>
    </xf>
    <xf numFmtId="0" fontId="3" fillId="2" borderId="8" xfId="0" applyFont="1" applyFill="1" applyBorder="1" applyAlignment="1">
      <alignment horizontal="left" vertical="top"/>
    </xf>
    <xf numFmtId="0" fontId="3" fillId="2" borderId="8" xfId="0" applyFont="1" applyFill="1" applyBorder="1" applyAlignment="1">
      <alignment horizontal="center" vertical="top" wrapText="1"/>
    </xf>
    <xf numFmtId="0" fontId="3" fillId="0" borderId="8" xfId="0" applyFont="1" applyBorder="1" applyAlignment="1">
      <alignment horizontal="center" vertical="center"/>
    </xf>
    <xf numFmtId="0" fontId="3" fillId="2" borderId="250" xfId="0" applyFont="1" applyFill="1" applyBorder="1" applyAlignment="1">
      <alignment horizontal="center" vertical="top" wrapText="1"/>
    </xf>
    <xf numFmtId="0" fontId="3" fillId="2" borderId="9" xfId="0" applyFont="1" applyFill="1" applyBorder="1" applyAlignment="1">
      <alignment horizontal="center" vertical="top" wrapText="1"/>
    </xf>
    <xf numFmtId="0" fontId="3" fillId="2" borderId="9" xfId="0" applyFont="1" applyFill="1" applyBorder="1" applyAlignment="1">
      <alignment horizontal="left" vertical="top" wrapText="1"/>
    </xf>
    <xf numFmtId="0" fontId="3" fillId="2" borderId="215" xfId="0" applyFont="1" applyFill="1" applyBorder="1" applyAlignment="1">
      <alignment horizontal="left" vertical="top"/>
    </xf>
  </cellXfs>
  <cellStyles count="1">
    <cellStyle name="Normal" xfId="0" builtinId="0"/>
  </cellStyles>
  <dxfs count="2">
    <dxf>
      <fill>
        <patternFill patternType="solid">
          <fgColor rgb="FFF4C7C3"/>
          <bgColor rgb="FFF4C7C3"/>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42"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40"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4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0" i="0">
                <a:solidFill>
                  <a:srgbClr val="757575"/>
                </a:solidFill>
                <a:latin typeface="Arial"/>
              </a:defRPr>
            </a:pPr>
            <a:r>
              <a:rPr sz="1600" b="0" i="0">
                <a:solidFill>
                  <a:srgbClr val="757575"/>
                </a:solidFill>
                <a:latin typeface="Arial"/>
              </a:rPr>
              <a:t>Emisiones de GEI (tCO2-e) por alcance</a:t>
            </a:r>
          </a:p>
        </c:rich>
      </c:tx>
      <c:overlay val="0"/>
    </c:title>
    <c:autoTitleDeleted val="0"/>
    <c:plotArea>
      <c:layout>
        <c:manualLayout>
          <c:xMode val="edge"/>
          <c:yMode val="edge"/>
          <c:x val="0.29653257881771872"/>
          <c:y val="0.2880539499036609"/>
          <c:w val="0.46682427107959024"/>
          <c:h val="0.5707129094412331"/>
        </c:manualLayout>
      </c:layout>
      <c:doughnutChart>
        <c:varyColors val="1"/>
        <c:ser>
          <c:idx val="0"/>
          <c:order val="0"/>
          <c:dPt>
            <c:idx val="0"/>
            <c:bubble3D val="0"/>
            <c:spPr>
              <a:solidFill>
                <a:schemeClr val="accent1"/>
              </a:solidFill>
            </c:spPr>
            <c:extLst>
              <c:ext xmlns:c16="http://schemas.microsoft.com/office/drawing/2014/chart" uri="{C3380CC4-5D6E-409C-BE32-E72D297353CC}">
                <c16:uniqueId val="{00000001-C149-4DE3-AC46-CF2E017C27AC}"/>
              </c:ext>
            </c:extLst>
          </c:dPt>
          <c:dPt>
            <c:idx val="1"/>
            <c:bubble3D val="0"/>
            <c:spPr>
              <a:solidFill>
                <a:schemeClr val="accent2"/>
              </a:solidFill>
            </c:spPr>
            <c:extLst>
              <c:ext xmlns:c16="http://schemas.microsoft.com/office/drawing/2014/chart" uri="{C3380CC4-5D6E-409C-BE32-E72D297353CC}">
                <c16:uniqueId val="{00000003-C149-4DE3-AC46-CF2E017C27AC}"/>
              </c:ext>
            </c:extLst>
          </c:dPt>
          <c:dPt>
            <c:idx val="2"/>
            <c:bubble3D val="0"/>
            <c:spPr>
              <a:solidFill>
                <a:schemeClr val="accent3"/>
              </a:solidFill>
            </c:spPr>
            <c:extLst>
              <c:ext xmlns:c16="http://schemas.microsoft.com/office/drawing/2014/chart" uri="{C3380CC4-5D6E-409C-BE32-E72D297353CC}">
                <c16:uniqueId val="{00000005-C149-4DE3-AC46-CF2E017C27AC}"/>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Graficos!$C$7:$C$9</c:f>
              <c:strCache>
                <c:ptCount val="3"/>
                <c:pt idx="0">
                  <c:v>Alcance 1</c:v>
                </c:pt>
                <c:pt idx="1">
                  <c:v>Alcance 2</c:v>
                </c:pt>
                <c:pt idx="2">
                  <c:v>Alcance 3</c:v>
                </c:pt>
              </c:strCache>
            </c:strRef>
          </c:cat>
          <c:val>
            <c:numRef>
              <c:f>Graficos!$D$7:$D$9</c:f>
              <c:numCache>
                <c:formatCode>_-* #,##0_-;\-* #,##0_-;_-* "-"??_-;_-@</c:formatCode>
                <c:ptCount val="3"/>
                <c:pt idx="0">
                  <c:v>0</c:v>
                </c:pt>
                <c:pt idx="1">
                  <c:v>1073.2021730263682</c:v>
                </c:pt>
                <c:pt idx="2">
                  <c:v>0</c:v>
                </c:pt>
              </c:numCache>
            </c:numRef>
          </c:val>
          <c:extLst>
            <c:ext xmlns:c16="http://schemas.microsoft.com/office/drawing/2014/chart" uri="{C3380CC4-5D6E-409C-BE32-E72D297353CC}">
              <c16:uniqueId val="{00000006-C149-4DE3-AC46-CF2E017C27AC}"/>
            </c:ext>
          </c:extLst>
        </c:ser>
        <c:dLbls>
          <c:showLegendKey val="0"/>
          <c:showVal val="0"/>
          <c:showCatName val="0"/>
          <c:showSerName val="0"/>
          <c:showPercent val="0"/>
          <c:showBubbleSize val="0"/>
          <c:showLeaderLines val="1"/>
        </c:dLbls>
        <c:firstSliceAng val="0"/>
        <c:holeSize val="75"/>
      </c:doughnutChart>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900" b="0" i="0">
                <a:solidFill>
                  <a:srgbClr val="757575"/>
                </a:solidFill>
                <a:latin typeface="Arial"/>
              </a:defRPr>
            </a:pPr>
            <a:r>
              <a:rPr sz="1900" b="0" i="0">
                <a:solidFill>
                  <a:srgbClr val="757575"/>
                </a:solidFill>
                <a:latin typeface="Arial"/>
              </a:rPr>
              <a:t>Emisiones por categoría</a:t>
            </a:r>
          </a:p>
        </c:rich>
      </c:tx>
      <c:overlay val="0"/>
    </c:title>
    <c:autoTitleDeleted val="0"/>
    <c:plotArea>
      <c:layout/>
      <c:doughnutChart>
        <c:varyColors val="1"/>
        <c:ser>
          <c:idx val="0"/>
          <c:order val="0"/>
          <c:dPt>
            <c:idx val="0"/>
            <c:bubble3D val="0"/>
            <c:spPr>
              <a:solidFill>
                <a:schemeClr val="accent1"/>
              </a:solidFill>
            </c:spPr>
            <c:extLst>
              <c:ext xmlns:c16="http://schemas.microsoft.com/office/drawing/2014/chart" uri="{C3380CC4-5D6E-409C-BE32-E72D297353CC}">
                <c16:uniqueId val="{00000001-DA9C-42B5-A49B-B160CB673CDA}"/>
              </c:ext>
            </c:extLst>
          </c:dPt>
          <c:dPt>
            <c:idx val="1"/>
            <c:bubble3D val="0"/>
            <c:spPr>
              <a:solidFill>
                <a:schemeClr val="accent2"/>
              </a:solidFill>
            </c:spPr>
            <c:extLst>
              <c:ext xmlns:c16="http://schemas.microsoft.com/office/drawing/2014/chart" uri="{C3380CC4-5D6E-409C-BE32-E72D297353CC}">
                <c16:uniqueId val="{00000003-DA9C-42B5-A49B-B160CB673CDA}"/>
              </c:ext>
            </c:extLst>
          </c:dPt>
          <c:dPt>
            <c:idx val="2"/>
            <c:bubble3D val="0"/>
            <c:spPr>
              <a:solidFill>
                <a:schemeClr val="accent3"/>
              </a:solidFill>
            </c:spPr>
            <c:extLst>
              <c:ext xmlns:c16="http://schemas.microsoft.com/office/drawing/2014/chart" uri="{C3380CC4-5D6E-409C-BE32-E72D297353CC}">
                <c16:uniqueId val="{00000005-DA9C-42B5-A49B-B160CB673CDA}"/>
              </c:ext>
            </c:extLst>
          </c:dPt>
          <c:dPt>
            <c:idx val="3"/>
            <c:bubble3D val="0"/>
            <c:spPr>
              <a:solidFill>
                <a:schemeClr val="accent4"/>
              </a:solidFill>
            </c:spPr>
            <c:extLst>
              <c:ext xmlns:c16="http://schemas.microsoft.com/office/drawing/2014/chart" uri="{C3380CC4-5D6E-409C-BE32-E72D297353CC}">
                <c16:uniqueId val="{00000007-DA9C-42B5-A49B-B160CB673CDA}"/>
              </c:ext>
            </c:extLst>
          </c:dPt>
          <c:dPt>
            <c:idx val="4"/>
            <c:bubble3D val="0"/>
            <c:spPr>
              <a:solidFill>
                <a:schemeClr val="accent5"/>
              </a:solidFill>
            </c:spPr>
            <c:extLst>
              <c:ext xmlns:c16="http://schemas.microsoft.com/office/drawing/2014/chart" uri="{C3380CC4-5D6E-409C-BE32-E72D297353CC}">
                <c16:uniqueId val="{00000009-DA9C-42B5-A49B-B160CB673CDA}"/>
              </c:ext>
            </c:extLst>
          </c:dPt>
          <c:dPt>
            <c:idx val="5"/>
            <c:bubble3D val="0"/>
            <c:spPr>
              <a:solidFill>
                <a:schemeClr val="accent6"/>
              </a:solidFill>
            </c:spPr>
            <c:extLst>
              <c:ext xmlns:c16="http://schemas.microsoft.com/office/drawing/2014/chart" uri="{C3380CC4-5D6E-409C-BE32-E72D297353CC}">
                <c16:uniqueId val="{0000000B-DA9C-42B5-A49B-B160CB673CDA}"/>
              </c:ext>
            </c:extLst>
          </c:dPt>
          <c:dPt>
            <c:idx val="6"/>
            <c:bubble3D val="0"/>
            <c:spPr>
              <a:solidFill>
                <a:schemeClr val="accent1"/>
              </a:solidFill>
            </c:spPr>
            <c:extLst>
              <c:ext xmlns:c16="http://schemas.microsoft.com/office/drawing/2014/chart" uri="{C3380CC4-5D6E-409C-BE32-E72D297353CC}">
                <c16:uniqueId val="{0000000D-DA9C-42B5-A49B-B160CB673CDA}"/>
              </c:ext>
            </c:extLst>
          </c:dPt>
          <c:dPt>
            <c:idx val="7"/>
            <c:bubble3D val="0"/>
            <c:spPr>
              <a:solidFill>
                <a:schemeClr val="accent2"/>
              </a:solidFill>
            </c:spPr>
            <c:extLst>
              <c:ext xmlns:c16="http://schemas.microsoft.com/office/drawing/2014/chart" uri="{C3380CC4-5D6E-409C-BE32-E72D297353CC}">
                <c16:uniqueId val="{0000000F-DA9C-42B5-A49B-B160CB673CDA}"/>
              </c:ext>
            </c:extLst>
          </c:dPt>
          <c:dPt>
            <c:idx val="8"/>
            <c:bubble3D val="0"/>
            <c:spPr>
              <a:solidFill>
                <a:schemeClr val="accent3"/>
              </a:solidFill>
            </c:spPr>
            <c:extLst>
              <c:ext xmlns:c16="http://schemas.microsoft.com/office/drawing/2014/chart" uri="{C3380CC4-5D6E-409C-BE32-E72D297353CC}">
                <c16:uniqueId val="{00000011-DA9C-42B5-A49B-B160CB673CDA}"/>
              </c:ext>
            </c:extLst>
          </c:dPt>
          <c:dPt>
            <c:idx val="9"/>
            <c:bubble3D val="0"/>
            <c:extLst>
              <c:ext xmlns:c16="http://schemas.microsoft.com/office/drawing/2014/chart" uri="{C3380CC4-5D6E-409C-BE32-E72D297353CC}">
                <c16:uniqueId val="{00000012-DA9C-42B5-A49B-B160CB673CDA}"/>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Graficos!$K$9:$K$18</c:f>
              <c:strCache>
                <c:ptCount val="9"/>
                <c:pt idx="0">
                  <c:v>Alcance 1</c:v>
                </c:pt>
                <c:pt idx="1">
                  <c:v>Alcance 2</c:v>
                </c:pt>
                <c:pt idx="2">
                  <c:v>Cat 1: Compra de bienes y servicios</c:v>
                </c:pt>
                <c:pt idx="3">
                  <c:v>Cat 2: Bienes de capital</c:v>
                </c:pt>
                <c:pt idx="4">
                  <c:v>Cat 3: Otras emisiones de energía y combustibles</c:v>
                </c:pt>
                <c:pt idx="5">
                  <c:v>Cat 5: Residuos generados en las operaciones</c:v>
                </c:pt>
                <c:pt idx="6">
                  <c:v>Cat 6: Viajes de negocio</c:v>
                </c:pt>
                <c:pt idx="7">
                  <c:v>Cat 7: Traslado de trabajadores</c:v>
                </c:pt>
                <c:pt idx="8">
                  <c:v>Cat 12: Fin de vida de productos vendidos</c:v>
                </c:pt>
              </c:strCache>
            </c:strRef>
          </c:cat>
          <c:val>
            <c:numRef>
              <c:f>Graficos!$L$9:$L$18</c:f>
              <c:numCache>
                <c:formatCode>0%</c:formatCode>
                <c:ptCount val="10"/>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3-DA9C-42B5-A49B-B160CB673CDA}"/>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65979985480679071"/>
          <c:y val="8.360693751101092E-2"/>
        </c:manualLayout>
      </c:layout>
      <c:overlay val="0"/>
      <c:txPr>
        <a:bodyPr/>
        <a:lstStyle/>
        <a:p>
          <a:pPr lvl="0">
            <a:defRPr sz="1600" b="0" i="0">
              <a:solidFill>
                <a:srgbClr val="1A1A1A"/>
              </a:solidFill>
              <a:latin typeface="Arial"/>
            </a:defRPr>
          </a:pPr>
          <a:endParaRPr lang="es-CL"/>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900" b="0" i="0">
                <a:solidFill>
                  <a:srgbClr val="757575"/>
                </a:solidFill>
                <a:latin typeface="Arial"/>
              </a:defRPr>
            </a:pPr>
            <a:r>
              <a:rPr sz="1900" b="0" i="0">
                <a:solidFill>
                  <a:srgbClr val="757575"/>
                </a:solidFill>
                <a:latin typeface="Arial"/>
              </a:rPr>
              <a:t>Categoría 1: Compra de bienes y servicios</a:t>
            </a:r>
          </a:p>
        </c:rich>
      </c:tx>
      <c:overlay val="0"/>
    </c:title>
    <c:autoTitleDeleted val="0"/>
    <c:plotArea>
      <c:layout/>
      <c:doughnutChart>
        <c:varyColors val="1"/>
        <c:ser>
          <c:idx val="0"/>
          <c:order val="0"/>
          <c:dPt>
            <c:idx val="0"/>
            <c:bubble3D val="0"/>
            <c:spPr>
              <a:solidFill>
                <a:schemeClr val="accent1"/>
              </a:solidFill>
            </c:spPr>
            <c:extLst>
              <c:ext xmlns:c16="http://schemas.microsoft.com/office/drawing/2014/chart" uri="{C3380CC4-5D6E-409C-BE32-E72D297353CC}">
                <c16:uniqueId val="{00000001-CD13-4A24-BD7E-F6C45AF56B9E}"/>
              </c:ext>
            </c:extLst>
          </c:dPt>
          <c:dPt>
            <c:idx val="1"/>
            <c:bubble3D val="0"/>
            <c:spPr>
              <a:solidFill>
                <a:schemeClr val="accent2"/>
              </a:solidFill>
            </c:spPr>
            <c:extLst>
              <c:ext xmlns:c16="http://schemas.microsoft.com/office/drawing/2014/chart" uri="{C3380CC4-5D6E-409C-BE32-E72D297353CC}">
                <c16:uniqueId val="{00000003-CD13-4A24-BD7E-F6C45AF56B9E}"/>
              </c:ext>
            </c:extLst>
          </c:dPt>
          <c:dPt>
            <c:idx val="2"/>
            <c:bubble3D val="0"/>
            <c:spPr>
              <a:solidFill>
                <a:schemeClr val="accent3"/>
              </a:solidFill>
            </c:spPr>
            <c:extLst>
              <c:ext xmlns:c16="http://schemas.microsoft.com/office/drawing/2014/chart" uri="{C3380CC4-5D6E-409C-BE32-E72D297353CC}">
                <c16:uniqueId val="{00000005-CD13-4A24-BD7E-F6C45AF56B9E}"/>
              </c:ext>
            </c:extLst>
          </c:dPt>
          <c:dPt>
            <c:idx val="3"/>
            <c:bubble3D val="0"/>
            <c:spPr>
              <a:solidFill>
                <a:schemeClr val="accent4"/>
              </a:solidFill>
            </c:spPr>
            <c:extLst>
              <c:ext xmlns:c16="http://schemas.microsoft.com/office/drawing/2014/chart" uri="{C3380CC4-5D6E-409C-BE32-E72D297353CC}">
                <c16:uniqueId val="{00000007-CD13-4A24-BD7E-F6C45AF56B9E}"/>
              </c:ext>
            </c:extLst>
          </c:dPt>
          <c:dPt>
            <c:idx val="4"/>
            <c:bubble3D val="0"/>
            <c:spPr>
              <a:solidFill>
                <a:schemeClr val="accent5"/>
              </a:solidFill>
            </c:spPr>
            <c:extLst>
              <c:ext xmlns:c16="http://schemas.microsoft.com/office/drawing/2014/chart" uri="{C3380CC4-5D6E-409C-BE32-E72D297353CC}">
                <c16:uniqueId val="{00000009-CD13-4A24-BD7E-F6C45AF56B9E}"/>
              </c:ext>
            </c:extLst>
          </c:dPt>
          <c:dLbls>
            <c:dLbl>
              <c:idx val="4"/>
              <c:tx>
                <c:rich>
                  <a:bodyPr/>
                  <a:lstStyle/>
                  <a:p>
                    <a:r>
                      <a:rPr b="0">
                        <a:solidFill>
                          <a:srgbClr val="000000"/>
                        </a:solidFill>
                        <a:latin typeface="+mn-lt"/>
                      </a:rPr>
                      <a:t>16%</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9-CD13-4A24-BD7E-F6C45AF56B9E}"/>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Graficos!$G$33:$G$37</c:f>
              <c:strCache>
                <c:ptCount val="5"/>
                <c:pt idx="0">
                  <c:v>Transporte terrestre terceros</c:v>
                </c:pt>
                <c:pt idx="1">
                  <c:v>Transporte aéreo</c:v>
                </c:pt>
                <c:pt idx="2">
                  <c:v>Insumos</c:v>
                </c:pt>
                <c:pt idx="3">
                  <c:v>Empaque</c:v>
                </c:pt>
                <c:pt idx="4">
                  <c:v>Servicios</c:v>
                </c:pt>
              </c:strCache>
            </c:strRef>
          </c:cat>
          <c:val>
            <c:numRef>
              <c:f>Graficos!$I$33:$I$37</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A-CD13-4A24-BD7E-F6C45AF56B9E}"/>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6847845195684491"/>
          <c:y val="0.40823396062664508"/>
        </c:manualLayout>
      </c:layout>
      <c:overlay val="0"/>
      <c:txPr>
        <a:bodyPr/>
        <a:lstStyle/>
        <a:p>
          <a:pPr lvl="0">
            <a:defRPr sz="1600" b="0" i="0">
              <a:solidFill>
                <a:srgbClr val="1A1A1A"/>
              </a:solidFill>
              <a:latin typeface="Arial"/>
            </a:defRPr>
          </a:pPr>
          <a:endParaRPr lang="es-CL"/>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30851307316469984"/>
          <c:y val="0.19079321902848248"/>
          <c:w val="0.41045431090241535"/>
          <c:h val="0.62755571808546895"/>
        </c:manualLayout>
      </c:layout>
      <c:doughnutChart>
        <c:varyColors val="1"/>
        <c:ser>
          <c:idx val="0"/>
          <c:order val="0"/>
          <c:dPt>
            <c:idx val="0"/>
            <c:bubble3D val="0"/>
            <c:spPr>
              <a:solidFill>
                <a:schemeClr val="accent1"/>
              </a:solidFill>
            </c:spPr>
            <c:extLst>
              <c:ext xmlns:c16="http://schemas.microsoft.com/office/drawing/2014/chart" uri="{C3380CC4-5D6E-409C-BE32-E72D297353CC}">
                <c16:uniqueId val="{00000001-490A-4387-9E0B-A5F5D527AC23}"/>
              </c:ext>
            </c:extLst>
          </c:dPt>
          <c:dPt>
            <c:idx val="1"/>
            <c:bubble3D val="0"/>
            <c:spPr>
              <a:solidFill>
                <a:schemeClr val="accent2"/>
              </a:solidFill>
            </c:spPr>
            <c:extLst>
              <c:ext xmlns:c16="http://schemas.microsoft.com/office/drawing/2014/chart" uri="{C3380CC4-5D6E-409C-BE32-E72D297353CC}">
                <c16:uniqueId val="{00000003-490A-4387-9E0B-A5F5D527AC23}"/>
              </c:ext>
            </c:extLst>
          </c:dPt>
          <c:dPt>
            <c:idx val="2"/>
            <c:bubble3D val="0"/>
            <c:spPr>
              <a:solidFill>
                <a:schemeClr val="accent3"/>
              </a:solidFill>
            </c:spPr>
            <c:extLst>
              <c:ext xmlns:c16="http://schemas.microsoft.com/office/drawing/2014/chart" uri="{C3380CC4-5D6E-409C-BE32-E72D297353CC}">
                <c16:uniqueId val="{00000005-490A-4387-9E0B-A5F5D527AC23}"/>
              </c:ext>
            </c:extLst>
          </c:dPt>
          <c:dPt>
            <c:idx val="3"/>
            <c:bubble3D val="0"/>
            <c:spPr>
              <a:solidFill>
                <a:schemeClr val="accent4"/>
              </a:solidFill>
            </c:spPr>
            <c:extLst>
              <c:ext xmlns:c16="http://schemas.microsoft.com/office/drawing/2014/chart" uri="{C3380CC4-5D6E-409C-BE32-E72D297353CC}">
                <c16:uniqueId val="{00000007-490A-4387-9E0B-A5F5D527AC23}"/>
              </c:ext>
            </c:extLst>
          </c:dPt>
          <c:dPt>
            <c:idx val="4"/>
            <c:bubble3D val="0"/>
            <c:spPr>
              <a:solidFill>
                <a:srgbClr val="006341"/>
              </a:solidFill>
            </c:spPr>
            <c:extLst>
              <c:ext xmlns:c16="http://schemas.microsoft.com/office/drawing/2014/chart" uri="{C3380CC4-5D6E-409C-BE32-E72D297353CC}">
                <c16:uniqueId val="{00000009-490A-4387-9E0B-A5F5D527AC23}"/>
              </c:ext>
            </c:extLst>
          </c:dPt>
          <c:dPt>
            <c:idx val="5"/>
            <c:bubble3D val="0"/>
            <c:spPr>
              <a:solidFill>
                <a:schemeClr val="accent6"/>
              </a:solidFill>
            </c:spPr>
            <c:extLst>
              <c:ext xmlns:c16="http://schemas.microsoft.com/office/drawing/2014/chart" uri="{C3380CC4-5D6E-409C-BE32-E72D297353CC}">
                <c16:uniqueId val="{0000000B-490A-4387-9E0B-A5F5D527AC23}"/>
              </c:ext>
            </c:extLst>
          </c:dPt>
          <c:dPt>
            <c:idx val="6"/>
            <c:bubble3D val="0"/>
            <c:spPr>
              <a:solidFill>
                <a:schemeClr val="accent1"/>
              </a:solidFill>
            </c:spPr>
            <c:extLst>
              <c:ext xmlns:c16="http://schemas.microsoft.com/office/drawing/2014/chart" uri="{C3380CC4-5D6E-409C-BE32-E72D297353CC}">
                <c16:uniqueId val="{0000000D-490A-4387-9E0B-A5F5D527AC23}"/>
              </c:ext>
            </c:extLst>
          </c:dPt>
          <c:dPt>
            <c:idx val="7"/>
            <c:bubble3D val="0"/>
            <c:spPr>
              <a:solidFill>
                <a:schemeClr val="accent2"/>
              </a:solidFill>
            </c:spPr>
            <c:extLst>
              <c:ext xmlns:c16="http://schemas.microsoft.com/office/drawing/2014/chart" uri="{C3380CC4-5D6E-409C-BE32-E72D297353CC}">
                <c16:uniqueId val="{0000000F-490A-4387-9E0B-A5F5D527AC23}"/>
              </c:ext>
            </c:extLst>
          </c:dPt>
          <c:dPt>
            <c:idx val="8"/>
            <c:bubble3D val="0"/>
            <c:spPr>
              <a:solidFill>
                <a:schemeClr val="accent3"/>
              </a:solidFill>
            </c:spPr>
            <c:extLst>
              <c:ext xmlns:c16="http://schemas.microsoft.com/office/drawing/2014/chart" uri="{C3380CC4-5D6E-409C-BE32-E72D297353CC}">
                <c16:uniqueId val="{00000011-490A-4387-9E0B-A5F5D527AC23}"/>
              </c:ext>
            </c:extLst>
          </c:dPt>
          <c:dPt>
            <c:idx val="9"/>
            <c:bubble3D val="0"/>
            <c:spPr>
              <a:solidFill>
                <a:schemeClr val="accent4"/>
              </a:solidFill>
            </c:spPr>
            <c:extLst>
              <c:ext xmlns:c16="http://schemas.microsoft.com/office/drawing/2014/chart" uri="{C3380CC4-5D6E-409C-BE32-E72D297353CC}">
                <c16:uniqueId val="{00000013-490A-4387-9E0B-A5F5D527AC2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Graficos!$L$87:$L$96</c:f>
              <c:strCache>
                <c:ptCount val="10"/>
                <c:pt idx="0">
                  <c:v>Transporte terrestre terceros local</c:v>
                </c:pt>
                <c:pt idx="1">
                  <c:v>Transporte terrestre terceros troncal</c:v>
                </c:pt>
                <c:pt idx="2">
                  <c:v>Transporte terrestre propio</c:v>
                </c:pt>
                <c:pt idx="3">
                  <c:v>Transporte aéreo</c:v>
                </c:pt>
                <c:pt idx="4">
                  <c:v>Servicios</c:v>
                </c:pt>
                <c:pt idx="5">
                  <c:v>Transporte colaboradores</c:v>
                </c:pt>
                <c:pt idx="6">
                  <c:v>Insumos</c:v>
                </c:pt>
                <c:pt idx="7">
                  <c:v>Empaque y  Fin de vida </c:v>
                </c:pt>
                <c:pt idx="8">
                  <c:v>Electricidad</c:v>
                </c:pt>
                <c:pt idx="9">
                  <c:v>Otros</c:v>
                </c:pt>
              </c:strCache>
            </c:strRef>
          </c:cat>
          <c:val>
            <c:numRef>
              <c:f>Graficos!$O$87:$O$96</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14-490A-4387-9E0B-A5F5D527AC23}"/>
            </c:ext>
          </c:extLst>
        </c:ser>
        <c:dLbls>
          <c:showLegendKey val="0"/>
          <c:showVal val="0"/>
          <c:showCatName val="0"/>
          <c:showSerName val="0"/>
          <c:showPercent val="0"/>
          <c:showBubbleSize val="0"/>
          <c:showLeaderLines val="1"/>
        </c:dLbls>
        <c:firstSliceAng val="0"/>
        <c:holeSize val="50"/>
      </c:doughnutChart>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0" i="0">
                <a:solidFill>
                  <a:srgbClr val="757575"/>
                </a:solidFill>
                <a:latin typeface="Arial"/>
              </a:defRPr>
            </a:pPr>
            <a:r>
              <a:rPr sz="1600" b="0" i="0">
                <a:solidFill>
                  <a:srgbClr val="757575"/>
                </a:solidFill>
                <a:latin typeface="Arial"/>
              </a:rPr>
              <a:t>Comparación Huellas 2020-2021</a:t>
            </a:r>
          </a:p>
        </c:rich>
      </c:tx>
      <c:overlay val="0"/>
    </c:title>
    <c:autoTitleDeleted val="0"/>
    <c:plotArea>
      <c:layout/>
      <c:barChart>
        <c:barDir val="col"/>
        <c:grouping val="stacked"/>
        <c:varyColors val="1"/>
        <c:ser>
          <c:idx val="0"/>
          <c:order val="0"/>
          <c:tx>
            <c:v>Combustión- fuentes fijas</c:v>
          </c:tx>
          <c:spPr>
            <a:solidFill>
              <a:srgbClr val="D4B77F"/>
            </a:solidFill>
            <a:ln cmpd="sng">
              <a:solidFill>
                <a:srgbClr val="000000"/>
              </a:solidFill>
            </a:ln>
          </c:spPr>
          <c:invertIfNegative val="1"/>
          <c:cat>
            <c:numRef>
              <c:f>Graficos!$AQ$8:$AR$8</c:f>
              <c:numCache>
                <c:formatCode>General</c:formatCode>
                <c:ptCount val="2"/>
                <c:pt idx="0">
                  <c:v>2020</c:v>
                </c:pt>
                <c:pt idx="1">
                  <c:v>2021</c:v>
                </c:pt>
              </c:numCache>
            </c:numRef>
          </c:cat>
          <c:val>
            <c:numRef>
              <c:f>Graficos!$AQ$9:$AR$9</c:f>
              <c:numCache>
                <c:formatCode>_-* #,##0_-;\-* #,##0_-;_-* "-"??_-;_-@</c:formatCode>
                <c:ptCount val="2"/>
                <c:pt idx="0" formatCode="#,##0">
                  <c:v>1.651511194</c:v>
                </c:pt>
                <c:pt idx="1">
                  <c:v>11.393384229869918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F0C-4FEC-890F-FC49508D2A57}"/>
            </c:ext>
          </c:extLst>
        </c:ser>
        <c:ser>
          <c:idx val="1"/>
          <c:order val="1"/>
          <c:tx>
            <c:v>Combustión- fuentes móviles</c:v>
          </c:tx>
          <c:spPr>
            <a:solidFill>
              <a:srgbClr val="B3B3B3"/>
            </a:solidFill>
            <a:ln cmpd="sng">
              <a:solidFill>
                <a:srgbClr val="000000"/>
              </a:solidFill>
            </a:ln>
          </c:spPr>
          <c:invertIfNegative val="1"/>
          <c:cat>
            <c:numRef>
              <c:f>Graficos!$AQ$8:$AR$8</c:f>
              <c:numCache>
                <c:formatCode>General</c:formatCode>
                <c:ptCount val="2"/>
                <c:pt idx="0">
                  <c:v>2020</c:v>
                </c:pt>
                <c:pt idx="1">
                  <c:v>2021</c:v>
                </c:pt>
              </c:numCache>
            </c:numRef>
          </c:cat>
          <c:val>
            <c:numRef>
              <c:f>Graficos!$AQ$10:$AR$10</c:f>
              <c:numCache>
                <c:formatCode>_-* #,##0_-;\-* #,##0_-;_-* "-"??_-;_-@</c:formatCode>
                <c:ptCount val="2"/>
                <c:pt idx="0" formatCode="#,##0">
                  <c:v>5144.7285859222002</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F0C-4FEC-890F-FC49508D2A57}"/>
            </c:ext>
          </c:extLst>
        </c:ser>
        <c:ser>
          <c:idx val="2"/>
          <c:order val="2"/>
          <c:tx>
            <c:v>Emisiones fugitivas</c:v>
          </c:tx>
          <c:spPr>
            <a:solidFill>
              <a:srgbClr val="A99205"/>
            </a:solidFill>
            <a:ln cmpd="sng">
              <a:solidFill>
                <a:srgbClr val="000000"/>
              </a:solidFill>
            </a:ln>
          </c:spPr>
          <c:invertIfNegative val="1"/>
          <c:cat>
            <c:numRef>
              <c:f>Graficos!$AQ$8:$AR$8</c:f>
              <c:numCache>
                <c:formatCode>General</c:formatCode>
                <c:ptCount val="2"/>
                <c:pt idx="0">
                  <c:v>2020</c:v>
                </c:pt>
                <c:pt idx="1">
                  <c:v>2021</c:v>
                </c:pt>
              </c:numCache>
            </c:numRef>
          </c:cat>
          <c:val>
            <c:numRef>
              <c:f>Graficos!$AQ$11:$AR$11</c:f>
              <c:numCache>
                <c:formatCode>_-* #,##0_-;\-* #,##0_-;_-* "-"??_-;_-@</c:formatCode>
                <c:ptCount val="2"/>
                <c:pt idx="0" formatCode="#,##0">
                  <c:v>0</c:v>
                </c:pt>
                <c:pt idx="1">
                  <c:v>263.23239999999998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F0C-4FEC-890F-FC49508D2A57}"/>
            </c:ext>
          </c:extLst>
        </c:ser>
        <c:ser>
          <c:idx val="3"/>
          <c:order val="3"/>
          <c:tx>
            <c:v>Compra de electricidad</c:v>
          </c:tx>
          <c:spPr>
            <a:solidFill>
              <a:srgbClr val="2FBFC1"/>
            </a:solidFill>
            <a:ln cmpd="sng">
              <a:solidFill>
                <a:srgbClr val="000000"/>
              </a:solidFill>
            </a:ln>
          </c:spPr>
          <c:invertIfNegative val="1"/>
          <c:cat>
            <c:numRef>
              <c:f>Graficos!$AQ$8:$AR$8</c:f>
              <c:numCache>
                <c:formatCode>General</c:formatCode>
                <c:ptCount val="2"/>
                <c:pt idx="0">
                  <c:v>2020</c:v>
                </c:pt>
                <c:pt idx="1">
                  <c:v>2021</c:v>
                </c:pt>
              </c:numCache>
            </c:numRef>
          </c:cat>
          <c:val>
            <c:numRef>
              <c:f>Graficos!$AQ$12:$AR$12</c:f>
              <c:numCache>
                <c:formatCode>_-* #,##0_-;\-* #,##0_-;_-* "-"??_-;_-@</c:formatCode>
                <c:ptCount val="2"/>
                <c:pt idx="0" formatCode="#,##0">
                  <c:v>1501.4519273999999</c:v>
                </c:pt>
                <c:pt idx="1">
                  <c:v>1073.2021730263682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BF0C-4FEC-890F-FC49508D2A57}"/>
            </c:ext>
          </c:extLst>
        </c:ser>
        <c:ser>
          <c:idx val="4"/>
          <c:order val="4"/>
          <c:tx>
            <c:v>Cat 1: Empaque</c:v>
          </c:tx>
          <c:spPr>
            <a:solidFill>
              <a:srgbClr val="6F998B"/>
            </a:solidFill>
            <a:ln cmpd="sng">
              <a:solidFill>
                <a:srgbClr val="000000"/>
              </a:solidFill>
            </a:ln>
          </c:spPr>
          <c:invertIfNegative val="1"/>
          <c:cat>
            <c:numRef>
              <c:f>Graficos!$AQ$8:$AR$8</c:f>
              <c:numCache>
                <c:formatCode>General</c:formatCode>
                <c:ptCount val="2"/>
                <c:pt idx="0">
                  <c:v>2020</c:v>
                </c:pt>
                <c:pt idx="1">
                  <c:v>2021</c:v>
                </c:pt>
              </c:numCache>
            </c:numRef>
          </c:cat>
          <c:val>
            <c:numRef>
              <c:f>Graficos!$AQ$13:$AR$13</c:f>
              <c:numCache>
                <c:formatCode>_-* #,##0_-;\-* #,##0_-;_-* "-"??_-;_-@</c:formatCode>
                <c:ptCount val="2"/>
                <c:pt idx="0" formatCode="#,##0">
                  <c:v>1459.6755159999998</c:v>
                </c:pt>
                <c:pt idx="1">
                  <c:v>1972.9830394748069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BF0C-4FEC-890F-FC49508D2A57}"/>
            </c:ext>
          </c:extLst>
        </c:ser>
        <c:ser>
          <c:idx val="5"/>
          <c:order val="5"/>
          <c:tx>
            <c:v>Cat 1: Transporte terrestre terceros</c:v>
          </c:tx>
          <c:spPr>
            <a:solidFill>
              <a:srgbClr val="449A9D"/>
            </a:solidFill>
            <a:ln cmpd="sng">
              <a:solidFill>
                <a:srgbClr val="000000"/>
              </a:solidFill>
            </a:ln>
          </c:spPr>
          <c:invertIfNegative val="1"/>
          <c:cat>
            <c:numRef>
              <c:f>Graficos!$AQ$8:$AR$8</c:f>
              <c:numCache>
                <c:formatCode>General</c:formatCode>
                <c:ptCount val="2"/>
                <c:pt idx="0">
                  <c:v>2020</c:v>
                </c:pt>
                <c:pt idx="1">
                  <c:v>2021</c:v>
                </c:pt>
              </c:numCache>
            </c:numRef>
          </c:cat>
          <c:val>
            <c:numRef>
              <c:f>Graficos!$AQ$14:$AR$14</c:f>
              <c:numCache>
                <c:formatCode>_-* #,##0_-;\-* #,##0_-;_-* "-"??_-;_-@</c:formatCode>
                <c:ptCount val="2"/>
                <c:pt idx="0" formatCode="#,##0">
                  <c:v>7084.2782200000001</c:v>
                </c:pt>
                <c:pt idx="1">
                  <c:v>10100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BF0C-4FEC-890F-FC49508D2A57}"/>
            </c:ext>
          </c:extLst>
        </c:ser>
        <c:ser>
          <c:idx val="6"/>
          <c:order val="6"/>
          <c:tx>
            <c:v>Cat 1: Transporte aéreo</c:v>
          </c:tx>
          <c:spPr>
            <a:solidFill>
              <a:srgbClr val="D4B77F"/>
            </a:solidFill>
            <a:ln cmpd="sng">
              <a:solidFill>
                <a:srgbClr val="000000"/>
              </a:solidFill>
            </a:ln>
          </c:spPr>
          <c:invertIfNegative val="1"/>
          <c:cat>
            <c:numRef>
              <c:f>Graficos!$AQ$8:$AR$8</c:f>
              <c:numCache>
                <c:formatCode>General</c:formatCode>
                <c:ptCount val="2"/>
                <c:pt idx="0">
                  <c:v>2020</c:v>
                </c:pt>
                <c:pt idx="1">
                  <c:v>2021</c:v>
                </c:pt>
              </c:numCache>
            </c:numRef>
          </c:cat>
          <c:val>
            <c:numRef>
              <c:f>Graficos!$AQ$15:$AR$15</c:f>
              <c:numCache>
                <c:formatCode>_-* #,##0_-;\-* #,##0_-;_-* "-"??_-;_-@</c:formatCode>
                <c:ptCount val="2"/>
                <c:pt idx="0" formatCode="#,##0">
                  <c:v>7571</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BF0C-4FEC-890F-FC49508D2A57}"/>
            </c:ext>
          </c:extLst>
        </c:ser>
        <c:ser>
          <c:idx val="7"/>
          <c:order val="7"/>
          <c:tx>
            <c:v>Cat 1: Bienes y servicios</c:v>
          </c:tx>
          <c:spPr>
            <a:solidFill>
              <a:srgbClr val="B3B3B3"/>
            </a:solidFill>
            <a:ln cmpd="sng">
              <a:solidFill>
                <a:srgbClr val="000000"/>
              </a:solidFill>
            </a:ln>
          </c:spPr>
          <c:invertIfNegative val="1"/>
          <c:cat>
            <c:numRef>
              <c:f>Graficos!$AQ$8:$AR$8</c:f>
              <c:numCache>
                <c:formatCode>General</c:formatCode>
                <c:ptCount val="2"/>
                <c:pt idx="0">
                  <c:v>2020</c:v>
                </c:pt>
                <c:pt idx="1">
                  <c:v>2021</c:v>
                </c:pt>
              </c:numCache>
            </c:numRef>
          </c:cat>
          <c:val>
            <c:numRef>
              <c:f>Graficos!$AQ$16:$AR$16</c:f>
              <c:numCache>
                <c:formatCode>_-* #,##0_-;\-* #,##0_-;_-* "-"??_-;_-@</c:formatCode>
                <c:ptCount val="2"/>
                <c:pt idx="0" formatCode="General">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BF0C-4FEC-890F-FC49508D2A57}"/>
            </c:ext>
          </c:extLst>
        </c:ser>
        <c:ser>
          <c:idx val="8"/>
          <c:order val="8"/>
          <c:tx>
            <c:v>Cat 2: Bienes de capital</c:v>
          </c:tx>
          <c:spPr>
            <a:solidFill>
              <a:srgbClr val="A99205"/>
            </a:solidFill>
            <a:ln cmpd="sng">
              <a:solidFill>
                <a:srgbClr val="000000"/>
              </a:solidFill>
            </a:ln>
          </c:spPr>
          <c:invertIfNegative val="1"/>
          <c:cat>
            <c:numRef>
              <c:f>Graficos!$AQ$8:$AR$8</c:f>
              <c:numCache>
                <c:formatCode>General</c:formatCode>
                <c:ptCount val="2"/>
                <c:pt idx="0">
                  <c:v>2020</c:v>
                </c:pt>
                <c:pt idx="1">
                  <c:v>2021</c:v>
                </c:pt>
              </c:numCache>
            </c:numRef>
          </c:cat>
          <c:val>
            <c:numRef>
              <c:f>Graficos!$AQ$17:$AR$17</c:f>
              <c:numCache>
                <c:formatCode>_-* #,##0_-;\-* #,##0_-;_-* "-"??_-;_-@</c:formatCode>
                <c:ptCount val="2"/>
                <c:pt idx="0" formatCode="General">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BF0C-4FEC-890F-FC49508D2A57}"/>
            </c:ext>
          </c:extLst>
        </c:ser>
        <c:ser>
          <c:idx val="9"/>
          <c:order val="9"/>
          <c:tx>
            <c:v>Cat 3: Emisiones energía y combustibles</c:v>
          </c:tx>
          <c:spPr>
            <a:solidFill>
              <a:srgbClr val="2FBFC1"/>
            </a:solidFill>
            <a:ln cmpd="sng">
              <a:solidFill>
                <a:srgbClr val="000000"/>
              </a:solidFill>
            </a:ln>
          </c:spPr>
          <c:invertIfNegative val="1"/>
          <c:cat>
            <c:numRef>
              <c:f>Graficos!$AQ$8:$AR$8</c:f>
              <c:numCache>
                <c:formatCode>General</c:formatCode>
                <c:ptCount val="2"/>
                <c:pt idx="0">
                  <c:v>2020</c:v>
                </c:pt>
                <c:pt idx="1">
                  <c:v>2021</c:v>
                </c:pt>
              </c:numCache>
            </c:numRef>
          </c:cat>
          <c:val>
            <c:numRef>
              <c:f>Graficos!$AQ$18:$AR$18</c:f>
              <c:numCache>
                <c:formatCode>_-* #,##0_-;\-* #,##0_-;_-* "-"??_-;_-@</c:formatCode>
                <c:ptCount val="2"/>
                <c:pt idx="0" formatCode="General">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BF0C-4FEC-890F-FC49508D2A57}"/>
            </c:ext>
          </c:extLst>
        </c:ser>
        <c:ser>
          <c:idx val="10"/>
          <c:order val="10"/>
          <c:tx>
            <c:v>Cat 5: Residuos generados en las operaciones</c:v>
          </c:tx>
          <c:spPr>
            <a:solidFill>
              <a:srgbClr val="6F998B"/>
            </a:solidFill>
            <a:ln cmpd="sng">
              <a:solidFill>
                <a:srgbClr val="000000"/>
              </a:solidFill>
            </a:ln>
          </c:spPr>
          <c:invertIfNegative val="1"/>
          <c:cat>
            <c:numRef>
              <c:f>Graficos!$AQ$8:$AR$8</c:f>
              <c:numCache>
                <c:formatCode>General</c:formatCode>
                <c:ptCount val="2"/>
                <c:pt idx="0">
                  <c:v>2020</c:v>
                </c:pt>
                <c:pt idx="1">
                  <c:v>2021</c:v>
                </c:pt>
              </c:numCache>
            </c:numRef>
          </c:cat>
          <c:val>
            <c:numRef>
              <c:f>Graficos!$AQ$19:$AR$19</c:f>
              <c:numCache>
                <c:formatCode>_-* #,##0_-;\-* #,##0_-;_-* "-"??_-;_-@</c:formatCode>
                <c:ptCount val="2"/>
                <c:pt idx="0" formatCode="General">
                  <c:v>0</c:v>
                </c:pt>
                <c:pt idx="1">
                  <c:v>317.55458951113644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BF0C-4FEC-890F-FC49508D2A57}"/>
            </c:ext>
          </c:extLst>
        </c:ser>
        <c:ser>
          <c:idx val="11"/>
          <c:order val="11"/>
          <c:tx>
            <c:v>Cat 6: Viajes de negocio</c:v>
          </c:tx>
          <c:spPr>
            <a:solidFill>
              <a:srgbClr val="449A9D"/>
            </a:solidFill>
            <a:ln cmpd="sng">
              <a:solidFill>
                <a:srgbClr val="000000"/>
              </a:solidFill>
            </a:ln>
          </c:spPr>
          <c:invertIfNegative val="1"/>
          <c:cat>
            <c:numRef>
              <c:f>Graficos!$AQ$8:$AR$8</c:f>
              <c:numCache>
                <c:formatCode>General</c:formatCode>
                <c:ptCount val="2"/>
                <c:pt idx="0">
                  <c:v>2020</c:v>
                </c:pt>
                <c:pt idx="1">
                  <c:v>2021</c:v>
                </c:pt>
              </c:numCache>
            </c:numRef>
          </c:cat>
          <c:val>
            <c:numRef>
              <c:f>Graficos!$AQ$20:$AR$20</c:f>
              <c:numCache>
                <c:formatCode>_-* #,##0_-;\-* #,##0_-;_-* "-"??_-;_-@</c:formatCode>
                <c:ptCount val="2"/>
                <c:pt idx="0" formatCode="General">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BF0C-4FEC-890F-FC49508D2A57}"/>
            </c:ext>
          </c:extLst>
        </c:ser>
        <c:ser>
          <c:idx val="12"/>
          <c:order val="12"/>
          <c:tx>
            <c:v>Cat 7: Traslado de trabajadores</c:v>
          </c:tx>
          <c:spPr>
            <a:solidFill>
              <a:srgbClr val="D4B77F"/>
            </a:solidFill>
            <a:ln cmpd="sng">
              <a:solidFill>
                <a:srgbClr val="000000"/>
              </a:solidFill>
            </a:ln>
          </c:spPr>
          <c:invertIfNegative val="1"/>
          <c:cat>
            <c:numRef>
              <c:f>Graficos!$AQ$8:$AR$8</c:f>
              <c:numCache>
                <c:formatCode>General</c:formatCode>
                <c:ptCount val="2"/>
                <c:pt idx="0">
                  <c:v>2020</c:v>
                </c:pt>
                <c:pt idx="1">
                  <c:v>2021</c:v>
                </c:pt>
              </c:numCache>
            </c:numRef>
          </c:cat>
          <c:val>
            <c:numRef>
              <c:f>Graficos!$AQ$21:$AR$21</c:f>
              <c:numCache>
                <c:formatCode>_-* #,##0_-;\-* #,##0_-;_-* "-"??_-;_-@</c:formatCode>
                <c:ptCount val="2"/>
                <c:pt idx="0" formatCode="General">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BF0C-4FEC-890F-FC49508D2A57}"/>
            </c:ext>
          </c:extLst>
        </c:ser>
        <c:ser>
          <c:idx val="13"/>
          <c:order val="13"/>
          <c:tx>
            <c:v>Cat 12: Fin de vida de productos vendidos</c:v>
          </c:tx>
          <c:spPr>
            <a:solidFill>
              <a:srgbClr val="B3B3B3"/>
            </a:solidFill>
            <a:ln cmpd="sng">
              <a:solidFill>
                <a:srgbClr val="000000"/>
              </a:solidFill>
            </a:ln>
          </c:spPr>
          <c:invertIfNegative val="1"/>
          <c:cat>
            <c:numRef>
              <c:f>Graficos!$AQ$8:$AR$8</c:f>
              <c:numCache>
                <c:formatCode>General</c:formatCode>
                <c:ptCount val="2"/>
                <c:pt idx="0">
                  <c:v>2020</c:v>
                </c:pt>
                <c:pt idx="1">
                  <c:v>2021</c:v>
                </c:pt>
              </c:numCache>
            </c:numRef>
          </c:cat>
          <c:val>
            <c:numRef>
              <c:f>Graficos!$AQ$22:$AR$22</c:f>
              <c:numCache>
                <c:formatCode>_-* #,##0_-;\-* #,##0_-;_-* "-"??_-;_-@</c:formatCode>
                <c:ptCount val="2"/>
                <c:pt idx="0" formatCode="General">
                  <c:v>0</c:v>
                </c:pt>
                <c:pt idx="1">
                  <c:v>539.33995764164411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D-BF0C-4FEC-890F-FC49508D2A57}"/>
            </c:ext>
          </c:extLst>
        </c:ser>
        <c:ser>
          <c:idx val="14"/>
          <c:order val="14"/>
          <c:tx>
            <c:v>Cat 14: Franquicias</c:v>
          </c:tx>
          <c:spPr>
            <a:solidFill>
              <a:srgbClr val="A99205"/>
            </a:solidFill>
            <a:ln cmpd="sng">
              <a:solidFill>
                <a:srgbClr val="000000"/>
              </a:solidFill>
            </a:ln>
          </c:spPr>
          <c:invertIfNegative val="1"/>
          <c:cat>
            <c:numRef>
              <c:f>Graficos!$AQ$8:$AR$8</c:f>
              <c:numCache>
                <c:formatCode>General</c:formatCode>
                <c:ptCount val="2"/>
                <c:pt idx="0">
                  <c:v>2020</c:v>
                </c:pt>
                <c:pt idx="1">
                  <c:v>2021</c:v>
                </c:pt>
              </c:numCache>
            </c:numRef>
          </c:cat>
          <c:val>
            <c:numRef>
              <c:f>Graficos!$AQ$23:$AR$23</c:f>
              <c:numCache>
                <c:formatCode>_-* #,##0_-;\-* #,##0_-;_-* "-"??_-;_-@</c:formatCode>
                <c:ptCount val="2"/>
                <c:pt idx="0" formatCode="General">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BF0C-4FEC-890F-FC49508D2A57}"/>
            </c:ext>
          </c:extLst>
        </c:ser>
        <c:dLbls>
          <c:showLegendKey val="0"/>
          <c:showVal val="0"/>
          <c:showCatName val="0"/>
          <c:showSerName val="0"/>
          <c:showPercent val="0"/>
          <c:showBubbleSize val="0"/>
        </c:dLbls>
        <c:gapWidth val="150"/>
        <c:overlap val="100"/>
        <c:axId val="1094525238"/>
        <c:axId val="230074484"/>
      </c:barChart>
      <c:catAx>
        <c:axId val="109452523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400" b="0" i="0">
                <a:solidFill>
                  <a:srgbClr val="000000"/>
                </a:solidFill>
                <a:latin typeface="Arial"/>
              </a:defRPr>
            </a:pPr>
            <a:endParaRPr lang="es-CL"/>
          </a:p>
        </c:txPr>
        <c:crossAx val="230074484"/>
        <c:crosses val="autoZero"/>
        <c:auto val="1"/>
        <c:lblAlgn val="ctr"/>
        <c:lblOffset val="100"/>
        <c:noMultiLvlLbl val="1"/>
      </c:catAx>
      <c:valAx>
        <c:axId val="23007448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1400" b="0" i="0">
                <a:solidFill>
                  <a:srgbClr val="000000"/>
                </a:solidFill>
                <a:latin typeface="Arial"/>
              </a:defRPr>
            </a:pPr>
            <a:endParaRPr lang="es-CL"/>
          </a:p>
        </c:txPr>
        <c:crossAx val="1094525238"/>
        <c:crosses val="autoZero"/>
        <c:crossBetween val="between"/>
      </c:valAx>
    </c:plotArea>
    <c:legend>
      <c:legendPos val="r"/>
      <c:layout>
        <c:manualLayout>
          <c:xMode val="edge"/>
          <c:yMode val="edge"/>
          <c:x val="0.69872880032767504"/>
          <c:y val="0.20546654191629879"/>
        </c:manualLayout>
      </c:layout>
      <c:overlay val="0"/>
      <c:txPr>
        <a:bodyPr/>
        <a:lstStyle/>
        <a:p>
          <a:pPr lvl="0">
            <a:defRPr sz="1400" b="0" i="0">
              <a:solidFill>
                <a:srgbClr val="1A1A1A"/>
              </a:solidFill>
              <a:latin typeface="Arial"/>
            </a:defRPr>
          </a:pPr>
          <a:endParaRPr lang="es-CL"/>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1</xdr:col>
      <xdr:colOff>323850</xdr:colOff>
      <xdr:row>14</xdr:row>
      <xdr:rowOff>9525</xdr:rowOff>
    </xdr:from>
    <xdr:ext cx="6686550" cy="3705225"/>
    <xdr:graphicFrame macro="">
      <xdr:nvGraphicFramePr>
        <xdr:cNvPr id="252893351" name="Chart 1">
          <a:extLst>
            <a:ext uri="{FF2B5EF4-FFF2-40B4-BE49-F238E27FC236}">
              <a16:creationId xmlns:a16="http://schemas.microsoft.com/office/drawing/2014/main" id="{00000000-0008-0000-0100-0000A7D81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314325</xdr:colOff>
      <xdr:row>2</xdr:row>
      <xdr:rowOff>66675</xdr:rowOff>
    </xdr:from>
    <xdr:ext cx="13973175" cy="8334375"/>
    <xdr:graphicFrame macro="">
      <xdr:nvGraphicFramePr>
        <xdr:cNvPr id="544721533" name="Chart 2">
          <a:extLst>
            <a:ext uri="{FF2B5EF4-FFF2-40B4-BE49-F238E27FC236}">
              <a16:creationId xmlns:a16="http://schemas.microsoft.com/office/drawing/2014/main" id="{00000000-0008-0000-0100-00007DCA7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5</xdr:col>
      <xdr:colOff>1571625</xdr:colOff>
      <xdr:row>41</xdr:row>
      <xdr:rowOff>9525</xdr:rowOff>
    </xdr:from>
    <xdr:ext cx="10525125" cy="5991225"/>
    <xdr:graphicFrame macro="">
      <xdr:nvGraphicFramePr>
        <xdr:cNvPr id="79699984" name="Chart 3">
          <a:extLst>
            <a:ext uri="{FF2B5EF4-FFF2-40B4-BE49-F238E27FC236}">
              <a16:creationId xmlns:a16="http://schemas.microsoft.com/office/drawing/2014/main" id="{00000000-0008-0000-0100-00001020C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5</xdr:col>
      <xdr:colOff>942975</xdr:colOff>
      <xdr:row>79</xdr:row>
      <xdr:rowOff>161925</xdr:rowOff>
    </xdr:from>
    <xdr:ext cx="10934700" cy="6353175"/>
    <xdr:graphicFrame macro="">
      <xdr:nvGraphicFramePr>
        <xdr:cNvPr id="529810001" name="Chart 4">
          <a:extLst>
            <a:ext uri="{FF2B5EF4-FFF2-40B4-BE49-F238E27FC236}">
              <a16:creationId xmlns:a16="http://schemas.microsoft.com/office/drawing/2014/main" id="{00000000-0008-0000-0100-000051429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31</xdr:col>
      <xdr:colOff>666750</xdr:colOff>
      <xdr:row>36</xdr:row>
      <xdr:rowOff>76200</xdr:rowOff>
    </xdr:from>
    <xdr:ext cx="10772775" cy="5048250"/>
    <xdr:graphicFrame macro="">
      <xdr:nvGraphicFramePr>
        <xdr:cNvPr id="2034753581" name="Chart 5" title="Gráfico">
          <a:extLst>
            <a:ext uri="{FF2B5EF4-FFF2-40B4-BE49-F238E27FC236}">
              <a16:creationId xmlns:a16="http://schemas.microsoft.com/office/drawing/2014/main" id="{00000000-0008-0000-0100-00002DE04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66675</xdr:colOff>
      <xdr:row>216</xdr:row>
      <xdr:rowOff>133350</xdr:rowOff>
    </xdr:from>
    <xdr:ext cx="17354550" cy="9782175"/>
    <xdr:pic>
      <xdr:nvPicPr>
        <xdr:cNvPr id="2" name="image1.png" title="Imagen">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28</xdr:col>
      <xdr:colOff>628650</xdr:colOff>
      <xdr:row>4</xdr:row>
      <xdr:rowOff>38100</xdr:rowOff>
    </xdr:from>
    <xdr:ext cx="4162425" cy="3381375"/>
    <xdr:pic>
      <xdr:nvPicPr>
        <xdr:cNvPr id="2" name="image4.png" title="Imagen">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53</xdr:row>
      <xdr:rowOff>0</xdr:rowOff>
    </xdr:from>
    <xdr:ext cx="6981825" cy="9877425"/>
    <xdr:pic>
      <xdr:nvPicPr>
        <xdr:cNvPr id="3" name="image3.png" title="Imagen">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0</xdr:colOff>
      <xdr:row>53</xdr:row>
      <xdr:rowOff>0</xdr:rowOff>
    </xdr:from>
    <xdr:ext cx="7315200" cy="9820275"/>
    <xdr:pic>
      <xdr:nvPicPr>
        <xdr:cNvPr id="4" name="image2.png" title="Imagen">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13</xdr:col>
      <xdr:colOff>0</xdr:colOff>
      <xdr:row>140</xdr:row>
      <xdr:rowOff>0</xdr:rowOff>
    </xdr:from>
    <xdr:ext cx="11544300" cy="16516350"/>
    <xdr:pic>
      <xdr:nvPicPr>
        <xdr:cNvPr id="5" name="image9.png" title="Imagen">
          <a:extLst>
            <a:ext uri="{FF2B5EF4-FFF2-40B4-BE49-F238E27FC236}">
              <a16:creationId xmlns:a16="http://schemas.microsoft.com/office/drawing/2014/main" id="{00000000-0008-0000-0C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175</xdr:row>
      <xdr:rowOff>47625</xdr:rowOff>
    </xdr:from>
    <xdr:ext cx="8382000" cy="7610475"/>
    <xdr:pic>
      <xdr:nvPicPr>
        <xdr:cNvPr id="2" name="image8.png" title="Imagen">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381000</xdr:colOff>
      <xdr:row>177</xdr:row>
      <xdr:rowOff>28575</xdr:rowOff>
    </xdr:from>
    <xdr:ext cx="6343650" cy="7534275"/>
    <xdr:pic>
      <xdr:nvPicPr>
        <xdr:cNvPr id="3" name="image5.png" title="Imagen">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1295400</xdr:colOff>
      <xdr:row>211</xdr:row>
      <xdr:rowOff>95250</xdr:rowOff>
    </xdr:from>
    <xdr:ext cx="6429375" cy="7419975"/>
    <xdr:pic>
      <xdr:nvPicPr>
        <xdr:cNvPr id="4" name="image7.png" title="Imagen">
          <a:extLst>
            <a:ext uri="{FF2B5EF4-FFF2-40B4-BE49-F238E27FC236}">
              <a16:creationId xmlns:a16="http://schemas.microsoft.com/office/drawing/2014/main" id="{00000000-0008-0000-0D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210</xdr:row>
      <xdr:rowOff>133350</xdr:rowOff>
    </xdr:from>
    <xdr:ext cx="8343900" cy="8667750"/>
    <xdr:pic>
      <xdr:nvPicPr>
        <xdr:cNvPr id="5" name="image6.png" title="Imagen">
          <a:extLst>
            <a:ext uri="{FF2B5EF4-FFF2-40B4-BE49-F238E27FC236}">
              <a16:creationId xmlns:a16="http://schemas.microsoft.com/office/drawing/2014/main" id="{00000000-0008-0000-0D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260</xdr:row>
      <xdr:rowOff>0</xdr:rowOff>
    </xdr:from>
    <xdr:ext cx="7124700" cy="7858125"/>
    <xdr:pic>
      <xdr:nvPicPr>
        <xdr:cNvPr id="6" name="image11.png" title="Imagen">
          <a:extLst>
            <a:ext uri="{FF2B5EF4-FFF2-40B4-BE49-F238E27FC236}">
              <a16:creationId xmlns:a16="http://schemas.microsoft.com/office/drawing/2014/main" id="{00000000-0008-0000-0D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8</xdr:col>
      <xdr:colOff>523875</xdr:colOff>
      <xdr:row>60</xdr:row>
      <xdr:rowOff>104775</xdr:rowOff>
    </xdr:from>
    <xdr:ext cx="12372975" cy="6619875"/>
    <xdr:pic>
      <xdr:nvPicPr>
        <xdr:cNvPr id="2" name="image10.png" title="Imagen">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19050</xdr:colOff>
      <xdr:row>98</xdr:row>
      <xdr:rowOff>142875</xdr:rowOff>
    </xdr:from>
    <xdr:ext cx="9972675" cy="5314950"/>
    <xdr:pic>
      <xdr:nvPicPr>
        <xdr:cNvPr id="3" name="image12.png" title="Imagen">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D4B77F"/>
      </a:accent1>
      <a:accent2>
        <a:srgbClr val="B3B3B3"/>
      </a:accent2>
      <a:accent3>
        <a:srgbClr val="A99205"/>
      </a:accent3>
      <a:accent4>
        <a:srgbClr val="2FBFC1"/>
      </a:accent4>
      <a:accent5>
        <a:srgbClr val="6F998B"/>
      </a:accent5>
      <a:accent6>
        <a:srgbClr val="449A9D"/>
      </a:accent6>
      <a:hlink>
        <a:srgbClr val="2FBFC1"/>
      </a:hlink>
      <a:folHlink>
        <a:srgbClr val="2FBF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hyperlink" Target="https://docs.google.com/presentation/d/1cp8dckgiY_StKqz7z6E9pG6-RV9b4GgTvjg2w5SmnoY/edit" TargetMode="External"/><Relationship Id="rId1" Type="http://schemas.openxmlformats.org/officeDocument/2006/relationships/hyperlink" Target="https://docs.google.com/presentation/d/1hCbSFX38ZOKzHIX14xvG54Xj8MxEzGDF/edit"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old.acee.cl/576/articles-59153_doc_pdf.pdf" TargetMode="External"/><Relationship Id="rId1" Type="http://schemas.openxmlformats.org/officeDocument/2006/relationships/hyperlink" Target="https://www.diariosustentable.com/2023/01/2022-presenta-matriz-energetica-mas-limpia-de-los-ultimos-12-anos/"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consultasciudadanas.mma.gob.cl/storage/citizen/6301/Estudio%20Proyecci%C3%B3n%20Generaci%C3%B3n%20RSM%20en%20Chile%202020-2040.pdf" TargetMode="External"/></Relationships>
</file>

<file path=xl/worksheets/_rels/sheet1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3.xml.rels><?xml version="1.0" encoding="UTF-8" standalone="yes"?>
<Relationships xmlns="http://schemas.openxmlformats.org/package/2006/relationships"><Relationship Id="rId3" Type="http://schemas.openxmlformats.org/officeDocument/2006/relationships/hyperlink" Target="https://www.industry.gov.au/sites/default/files/2020-10/national-greenhouse-accounts-factors-2020.pdf" TargetMode="External"/><Relationship Id="rId2" Type="http://schemas.openxmlformats.org/officeDocument/2006/relationships/hyperlink" Target="https://mma.gob.cl/wp-content/uploads/2017/12/recurso_11.pdf" TargetMode="External"/><Relationship Id="rId1" Type="http://schemas.openxmlformats.org/officeDocument/2006/relationships/hyperlink" Target="http://www.january.id.au/Tables/Densities.htm" TargetMode="External"/><Relationship Id="rId5" Type="http://schemas.openxmlformats.org/officeDocument/2006/relationships/hyperlink" Target="https://www.industry.gov.au/sites/default/files/2020-10/national-greenhouse-accounts-factors-2020.pdf" TargetMode="External"/><Relationship Id="rId4" Type="http://schemas.openxmlformats.org/officeDocument/2006/relationships/hyperlink" Target="https://www.industry.gov.au/sites/default/files/2020-10/national-greenhouse-accounts-factors-2020.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tabSelected="1" zoomScaleNormal="100" workbookViewId="0">
      <selection activeCell="N1" sqref="N1"/>
    </sheetView>
  </sheetViews>
  <sheetFormatPr baseColWidth="10" defaultColWidth="12.6640625" defaultRowHeight="15" customHeight="1"/>
  <cols>
    <col min="1" max="1" width="11.44140625" customWidth="1"/>
    <col min="2" max="2" width="56.109375" customWidth="1"/>
    <col min="3" max="3" width="11.44140625" customWidth="1"/>
    <col min="4" max="4" width="13.77734375" customWidth="1"/>
    <col min="5" max="5" width="11.44140625" customWidth="1"/>
    <col min="6" max="6" width="16.44140625" customWidth="1"/>
    <col min="7" max="26" width="11.44140625" customWidth="1"/>
  </cols>
  <sheetData>
    <row r="1" spans="1:11" ht="12" customHeight="1">
      <c r="A1" s="1"/>
      <c r="B1" s="1"/>
      <c r="C1" s="1"/>
      <c r="D1" s="1"/>
      <c r="E1" s="1"/>
      <c r="F1" s="1"/>
      <c r="G1" s="1">
        <v>2022</v>
      </c>
      <c r="H1" s="1">
        <v>2022</v>
      </c>
      <c r="I1" s="1"/>
      <c r="J1" s="1"/>
      <c r="K1" s="1"/>
    </row>
    <row r="2" spans="1:11" ht="12" customHeight="1">
      <c r="A2" s="1"/>
      <c r="B2" s="2" t="s">
        <v>0</v>
      </c>
      <c r="C2" s="1"/>
      <c r="D2" s="1"/>
      <c r="E2" s="1"/>
      <c r="F2" s="1"/>
      <c r="G2" s="1" t="s">
        <v>1</v>
      </c>
      <c r="H2" s="1" t="s">
        <v>2</v>
      </c>
      <c r="I2" s="1"/>
      <c r="J2" s="1"/>
      <c r="K2" s="1"/>
    </row>
    <row r="3" spans="1:11" ht="12" customHeight="1">
      <c r="A3" s="1"/>
      <c r="B3" s="2" t="s">
        <v>3</v>
      </c>
      <c r="C3" s="2">
        <v>2021</v>
      </c>
      <c r="D3" s="2" t="s">
        <v>4</v>
      </c>
      <c r="E3" s="2" t="s">
        <v>5</v>
      </c>
      <c r="F3" s="2" t="s">
        <v>6</v>
      </c>
      <c r="G3" s="1" t="s">
        <v>7</v>
      </c>
      <c r="H3" s="1" t="s">
        <v>7</v>
      </c>
      <c r="I3" s="1" t="s">
        <v>8</v>
      </c>
      <c r="J3" s="1"/>
      <c r="K3" s="1" t="s">
        <v>9</v>
      </c>
    </row>
    <row r="4" spans="1:11" ht="12" customHeight="1">
      <c r="A4" s="1">
        <v>1</v>
      </c>
      <c r="B4" s="3" t="s">
        <v>10</v>
      </c>
      <c r="C4" s="4">
        <v>10258.87587947274</v>
      </c>
      <c r="D4" s="4">
        <v>7308</v>
      </c>
      <c r="E4" s="5">
        <v>6789</v>
      </c>
      <c r="F4" s="6">
        <f t="shared" ref="F4:F20" si="0">+E4-D4</f>
        <v>-519</v>
      </c>
      <c r="G4" s="7">
        <f t="shared" ref="G4:H4" si="1">+D4*1000/$D$23</f>
        <v>0.38250096802892769</v>
      </c>
      <c r="H4" s="7">
        <f t="shared" si="1"/>
        <v>0.35533649041439386</v>
      </c>
      <c r="I4" s="7">
        <f t="shared" ref="I4:I21" si="2">+H4-G4</f>
        <v>-2.7164477614533833E-2</v>
      </c>
      <c r="J4" s="8">
        <f t="shared" ref="J4:J8" si="3">+H4/G4-1</f>
        <v>-7.1018062397372628E-2</v>
      </c>
      <c r="K4" s="1" t="s">
        <v>11</v>
      </c>
    </row>
    <row r="5" spans="1:11" ht="12" customHeight="1">
      <c r="A5" s="1">
        <v>2</v>
      </c>
      <c r="B5" s="3" t="s">
        <v>12</v>
      </c>
      <c r="C5" s="4">
        <v>10099.540801510251</v>
      </c>
      <c r="D5" s="4">
        <v>6681</v>
      </c>
      <c r="E5" s="5">
        <v>6937</v>
      </c>
      <c r="F5" s="6">
        <f t="shared" si="0"/>
        <v>256</v>
      </c>
      <c r="G5" s="7">
        <f t="shared" ref="G5:H5" si="4">+D5*1000/$D$23</f>
        <v>0.34968376674894169</v>
      </c>
      <c r="H5" s="7">
        <f t="shared" si="4"/>
        <v>0.36308281543742082</v>
      </c>
      <c r="I5" s="7">
        <f t="shared" si="2"/>
        <v>1.3399048688479132E-2</v>
      </c>
      <c r="J5" s="8">
        <f t="shared" si="3"/>
        <v>3.8317617123185155E-2</v>
      </c>
      <c r="K5" s="1" t="s">
        <v>13</v>
      </c>
    </row>
    <row r="6" spans="1:11" ht="12" customHeight="1">
      <c r="A6" s="9">
        <v>3</v>
      </c>
      <c r="B6" s="3" t="s">
        <v>14</v>
      </c>
      <c r="C6" s="4">
        <v>6615.4766073918527</v>
      </c>
      <c r="D6" s="4">
        <v>5236</v>
      </c>
      <c r="E6" s="5">
        <f>'5. Bienes y servicios'!$O$35</f>
        <v>4140.2040331628741</v>
      </c>
      <c r="F6" s="6">
        <f t="shared" si="0"/>
        <v>-1095.7959668371259</v>
      </c>
      <c r="G6" s="7">
        <f t="shared" ref="G6:H6" si="5">+D6*1000/$D$23</f>
        <v>0.27405241770654976</v>
      </c>
      <c r="H6" s="7">
        <f t="shared" si="5"/>
        <v>0.21669841961166805</v>
      </c>
      <c r="I6" s="7">
        <f t="shared" si="2"/>
        <v>-5.7353998094881703E-2</v>
      </c>
      <c r="J6" s="8">
        <f t="shared" si="3"/>
        <v>-0.20928112430044421</v>
      </c>
      <c r="K6" s="1" t="s">
        <v>15</v>
      </c>
    </row>
    <row r="7" spans="1:11" ht="12" customHeight="1">
      <c r="A7" s="1">
        <v>4</v>
      </c>
      <c r="B7" s="3" t="s">
        <v>16</v>
      </c>
      <c r="C7" s="4">
        <v>11041.987606019684</v>
      </c>
      <c r="D7" s="4">
        <v>9671</v>
      </c>
      <c r="E7" s="5">
        <v>4359</v>
      </c>
      <c r="F7" s="6">
        <f t="shared" si="0"/>
        <v>-5312</v>
      </c>
      <c r="G7" s="7">
        <f t="shared" ref="G7:H7" si="6">+D7*1000/$D$23</f>
        <v>0.50618046822766283</v>
      </c>
      <c r="H7" s="7">
        <f t="shared" si="6"/>
        <v>0.22815020794172083</v>
      </c>
      <c r="I7" s="7">
        <f t="shared" si="2"/>
        <v>-0.27803026028594202</v>
      </c>
      <c r="J7" s="8">
        <f t="shared" si="3"/>
        <v>-0.54927101644090581</v>
      </c>
      <c r="K7" s="1" t="s">
        <v>17</v>
      </c>
    </row>
    <row r="8" spans="1:11" ht="12" customHeight="1">
      <c r="A8" s="9">
        <v>5</v>
      </c>
      <c r="B8" s="3" t="s">
        <v>18</v>
      </c>
      <c r="C8" s="4">
        <v>4424.3686505076239</v>
      </c>
      <c r="D8" s="4">
        <v>3221</v>
      </c>
      <c r="E8" s="5">
        <f>'6. Traslado colaboradores'!$L$12</f>
        <v>3248</v>
      </c>
      <c r="F8" s="6">
        <f t="shared" si="0"/>
        <v>27</v>
      </c>
      <c r="G8" s="7">
        <f t="shared" ref="G8:H8" si="7">+D8*1000/$D$23</f>
        <v>0.16858724931871594</v>
      </c>
      <c r="H8" s="7">
        <f t="shared" si="7"/>
        <v>0.17000043023507899</v>
      </c>
      <c r="I8" s="7">
        <f t="shared" si="2"/>
        <v>1.4131809163630549E-3</v>
      </c>
      <c r="J8" s="8">
        <f t="shared" si="3"/>
        <v>8.3824899099660399E-3</v>
      </c>
      <c r="K8" s="1" t="s">
        <v>19</v>
      </c>
    </row>
    <row r="9" spans="1:11" ht="12" customHeight="1">
      <c r="A9" s="9">
        <v>6</v>
      </c>
      <c r="B9" s="3" t="s">
        <v>20</v>
      </c>
      <c r="C9" s="4">
        <v>0</v>
      </c>
      <c r="D9" s="4">
        <v>0</v>
      </c>
      <c r="E9" s="5">
        <v>0</v>
      </c>
      <c r="F9" s="6">
        <f t="shared" si="0"/>
        <v>0</v>
      </c>
      <c r="G9" s="7">
        <f t="shared" ref="G9:H9" si="8">+D9*1000/$D$23</f>
        <v>0</v>
      </c>
      <c r="H9" s="7">
        <f t="shared" si="8"/>
        <v>0</v>
      </c>
      <c r="I9" s="7">
        <f t="shared" si="2"/>
        <v>0</v>
      </c>
      <c r="J9" s="8">
        <v>0</v>
      </c>
      <c r="K9" s="1" t="s">
        <v>21</v>
      </c>
    </row>
    <row r="10" spans="1:11" ht="12" customHeight="1">
      <c r="A10" s="9">
        <v>7</v>
      </c>
      <c r="B10" s="3" t="s">
        <v>22</v>
      </c>
      <c r="C10" s="4">
        <v>2246.5408515820614</v>
      </c>
      <c r="D10" s="4">
        <v>850</v>
      </c>
      <c r="E10" s="5">
        <f>'8. Insumos y Empaque'!$J$29</f>
        <v>789.24863283286834</v>
      </c>
      <c r="F10" s="6">
        <f t="shared" si="0"/>
        <v>-60.751367167131662</v>
      </c>
      <c r="G10" s="7">
        <f t="shared" ref="G10:H10" si="9">+D10*1000/$D$23</f>
        <v>4.4489028848465867E-2</v>
      </c>
      <c r="H10" s="7">
        <f t="shared" si="9"/>
        <v>4.1309300229074974E-2</v>
      </c>
      <c r="I10" s="7">
        <f t="shared" si="2"/>
        <v>-3.1797286193908925E-3</v>
      </c>
      <c r="J10" s="8">
        <f t="shared" ref="J10:J16" si="10">+H10/G10-1</f>
        <v>-7.1472196667213606E-2</v>
      </c>
      <c r="K10" s="1" t="s">
        <v>23</v>
      </c>
    </row>
    <row r="11" spans="1:11" ht="12" customHeight="1">
      <c r="A11" s="9">
        <v>8</v>
      </c>
      <c r="B11" s="3" t="s">
        <v>24</v>
      </c>
      <c r="C11" s="4">
        <v>1534.3592416758499</v>
      </c>
      <c r="D11" s="4">
        <v>528</v>
      </c>
      <c r="E11" s="5">
        <f>'8. Insumos y Empaque'!$K$28</f>
        <v>539.38539083797991</v>
      </c>
      <c r="F11" s="6">
        <f t="shared" si="0"/>
        <v>11.385390837979912</v>
      </c>
      <c r="G11" s="7">
        <f t="shared" ref="G11:H11" si="11">+D11*1000/$D$23</f>
        <v>2.7635537919988209E-2</v>
      </c>
      <c r="H11" s="7">
        <f t="shared" si="11"/>
        <v>2.8231449662861091E-2</v>
      </c>
      <c r="I11" s="7">
        <f t="shared" si="2"/>
        <v>5.9591174287288232E-4</v>
      </c>
      <c r="J11" s="8">
        <f t="shared" si="10"/>
        <v>2.1563240223446911E-2</v>
      </c>
      <c r="K11" s="1" t="s">
        <v>23</v>
      </c>
    </row>
    <row r="12" spans="1:11" ht="12" customHeight="1">
      <c r="A12" s="9">
        <v>9</v>
      </c>
      <c r="B12" s="3" t="s">
        <v>25</v>
      </c>
      <c r="C12" s="4">
        <v>1591.1646988655268</v>
      </c>
      <c r="D12" s="4">
        <v>1182</v>
      </c>
      <c r="E12" s="5">
        <f>'7. Energia Electrica'!$X$16</f>
        <v>1073.2021730263682</v>
      </c>
      <c r="F12" s="6">
        <f t="shared" si="0"/>
        <v>-108.7978269736318</v>
      </c>
      <c r="G12" s="7">
        <f t="shared" ref="G12:H12" si="12">+D12*1000/$D$23</f>
        <v>6.1865920116337243E-2</v>
      </c>
      <c r="H12" s="7">
        <f t="shared" si="12"/>
        <v>5.6171438160007477E-2</v>
      </c>
      <c r="I12" s="7">
        <f t="shared" si="2"/>
        <v>-5.6944819563297666E-3</v>
      </c>
      <c r="J12" s="8">
        <f t="shared" si="10"/>
        <v>-9.2045538894781509E-2</v>
      </c>
      <c r="K12" s="1" t="s">
        <v>26</v>
      </c>
    </row>
    <row r="13" spans="1:11" ht="12" customHeight="1">
      <c r="A13" s="9">
        <v>10</v>
      </c>
      <c r="B13" s="3" t="s">
        <v>27</v>
      </c>
      <c r="C13" s="4">
        <v>1046.8453028782287</v>
      </c>
      <c r="D13" s="4">
        <v>607</v>
      </c>
      <c r="E13" s="5">
        <f>'10. Bienes de capital'!$J$15</f>
        <v>114.62356950353998</v>
      </c>
      <c r="F13" s="6">
        <f t="shared" si="0"/>
        <v>-492.37643049645999</v>
      </c>
      <c r="G13" s="7">
        <f t="shared" ref="G13:H13" si="13">+D13*1000/$D$23</f>
        <v>3.1770400601198567E-2</v>
      </c>
      <c r="H13" s="7">
        <f t="shared" si="13"/>
        <v>5.9994015180672034E-3</v>
      </c>
      <c r="I13" s="7">
        <f t="shared" si="2"/>
        <v>-2.5770999083131366E-2</v>
      </c>
      <c r="J13" s="8">
        <f t="shared" si="10"/>
        <v>-0.81116380641920927</v>
      </c>
      <c r="K13" s="1"/>
    </row>
    <row r="14" spans="1:11" ht="12" customHeight="1">
      <c r="A14" s="9">
        <v>11</v>
      </c>
      <c r="B14" s="3" t="s">
        <v>28</v>
      </c>
      <c r="C14" s="4">
        <v>438.62379779895701</v>
      </c>
      <c r="D14" s="4">
        <v>204</v>
      </c>
      <c r="E14" s="5">
        <f>+'8. Insumos y Empaque'!$J$28</f>
        <v>190.49121052865613</v>
      </c>
      <c r="F14" s="6">
        <f t="shared" si="0"/>
        <v>-13.508789471343874</v>
      </c>
      <c r="G14" s="7">
        <f t="shared" ref="G14:H14" si="14">+D14*1000/$D$23</f>
        <v>1.0677366923631809E-2</v>
      </c>
      <c r="H14" s="7">
        <f t="shared" si="14"/>
        <v>9.9703164242218433E-3</v>
      </c>
      <c r="I14" s="7">
        <f t="shared" si="2"/>
        <v>-7.070504994099655E-4</v>
      </c>
      <c r="J14" s="8">
        <f t="shared" si="10"/>
        <v>-6.6219556232077981E-2</v>
      </c>
      <c r="K14" s="1" t="s">
        <v>29</v>
      </c>
    </row>
    <row r="15" spans="1:11" ht="12" customHeight="1">
      <c r="A15" s="9">
        <v>12</v>
      </c>
      <c r="B15" s="3" t="s">
        <v>30</v>
      </c>
      <c r="C15" s="4">
        <v>544.40703802583778</v>
      </c>
      <c r="D15" s="10">
        <v>297</v>
      </c>
      <c r="E15" s="5">
        <f>+'9. Residuos'!$N$33</f>
        <v>0</v>
      </c>
      <c r="F15" s="6">
        <f t="shared" si="0"/>
        <v>-297</v>
      </c>
      <c r="G15" s="7">
        <f t="shared" ref="G15:H15" si="15">+D15*1000/$D$23</f>
        <v>1.5544990079993368E-2</v>
      </c>
      <c r="H15" s="7">
        <f t="shared" si="15"/>
        <v>0</v>
      </c>
      <c r="I15" s="7">
        <f t="shared" si="2"/>
        <v>-1.5544990079993368E-2</v>
      </c>
      <c r="J15" s="8">
        <f t="shared" si="10"/>
        <v>-1</v>
      </c>
      <c r="K15" s="1" t="s">
        <v>31</v>
      </c>
    </row>
    <row r="16" spans="1:11" ht="12" customHeight="1">
      <c r="A16" s="9">
        <v>14</v>
      </c>
      <c r="B16" s="3" t="s">
        <v>32</v>
      </c>
      <c r="C16" s="4">
        <v>302.51454129446199</v>
      </c>
      <c r="D16" s="4">
        <v>97</v>
      </c>
      <c r="E16" s="5">
        <f>'7. Energia Electrica'!$Y$16</f>
        <v>270.5741149054632</v>
      </c>
      <c r="F16" s="6">
        <f t="shared" si="0"/>
        <v>173.5741149054632</v>
      </c>
      <c r="G16" s="7">
        <f t="shared" ref="G16:H16" si="16">+D16*1000/$D$23</f>
        <v>5.0769832921190462E-3</v>
      </c>
      <c r="H16" s="7">
        <f t="shared" si="16"/>
        <v>1.4161858357267377E-2</v>
      </c>
      <c r="I16" s="7">
        <f t="shared" si="2"/>
        <v>9.0848750651483304E-3</v>
      </c>
      <c r="J16" s="8">
        <f t="shared" si="10"/>
        <v>1.7894238650047751</v>
      </c>
      <c r="K16" s="1" t="s">
        <v>26</v>
      </c>
    </row>
    <row r="17" spans="1:11" ht="12" customHeight="1">
      <c r="A17" s="9">
        <v>15</v>
      </c>
      <c r="B17" s="3" t="s">
        <v>33</v>
      </c>
      <c r="C17" s="4">
        <v>0</v>
      </c>
      <c r="D17" s="4">
        <v>0</v>
      </c>
      <c r="E17" s="5">
        <v>0</v>
      </c>
      <c r="F17" s="6">
        <f t="shared" si="0"/>
        <v>0</v>
      </c>
      <c r="G17" s="7">
        <f t="shared" ref="G17:H17" si="17">+D17*1000/$D$23</f>
        <v>0</v>
      </c>
      <c r="H17" s="7">
        <f t="shared" si="17"/>
        <v>0</v>
      </c>
      <c r="I17" s="7">
        <f t="shared" si="2"/>
        <v>0</v>
      </c>
      <c r="J17" s="8">
        <v>0</v>
      </c>
      <c r="K17" s="1" t="s">
        <v>21</v>
      </c>
    </row>
    <row r="18" spans="1:11" ht="12" customHeight="1">
      <c r="A18" s="1">
        <v>16</v>
      </c>
      <c r="B18" s="3" t="s">
        <v>34</v>
      </c>
      <c r="C18" s="4">
        <v>107.53479684029037</v>
      </c>
      <c r="D18" s="4">
        <v>22</v>
      </c>
      <c r="E18" s="5">
        <f>'12. Viajes de Negocio'!$G$37</f>
        <v>66.055033653599978</v>
      </c>
      <c r="F18" s="6">
        <f t="shared" si="0"/>
        <v>44.055033653599978</v>
      </c>
      <c r="G18" s="7">
        <f t="shared" ref="G18:H18" si="18">+D18*1000/$D$23</f>
        <v>1.1514807466661754E-3</v>
      </c>
      <c r="H18" s="7">
        <f t="shared" si="18"/>
        <v>3.4573227032957568E-3</v>
      </c>
      <c r="I18" s="7">
        <f t="shared" si="2"/>
        <v>2.3058419566295814E-3</v>
      </c>
      <c r="J18" s="8">
        <f t="shared" ref="J18:J21" si="19">+H18/G18-1</f>
        <v>2.00250152970909</v>
      </c>
      <c r="K18" s="1" t="s">
        <v>35</v>
      </c>
    </row>
    <row r="19" spans="1:11" ht="12" customHeight="1">
      <c r="A19" s="1">
        <v>17</v>
      </c>
      <c r="B19" s="3" t="s">
        <v>36</v>
      </c>
      <c r="C19" s="4">
        <v>27.705999999999996</v>
      </c>
      <c r="D19" s="4">
        <v>19</v>
      </c>
      <c r="E19" s="5">
        <f>'11. Refrigerantes'!$J$37</f>
        <v>263.23239999999998</v>
      </c>
      <c r="F19" s="6">
        <f t="shared" si="0"/>
        <v>244.23239999999998</v>
      </c>
      <c r="G19" s="7">
        <f t="shared" ref="G19:H19" si="20">+D19*1000/$D$23</f>
        <v>9.9446064484806054E-4</v>
      </c>
      <c r="H19" s="7">
        <f t="shared" si="20"/>
        <v>1.377759274994224E-2</v>
      </c>
      <c r="I19" s="7">
        <f t="shared" si="2"/>
        <v>1.2783132105094179E-2</v>
      </c>
      <c r="J19" s="8">
        <f t="shared" si="19"/>
        <v>12.85433684210526</v>
      </c>
      <c r="K19" s="1" t="s">
        <v>35</v>
      </c>
    </row>
    <row r="20" spans="1:11" ht="12" customHeight="1">
      <c r="A20" s="1">
        <v>18</v>
      </c>
      <c r="B20" s="3" t="s">
        <v>37</v>
      </c>
      <c r="C20" s="4">
        <v>4.0750040867199999</v>
      </c>
      <c r="D20" s="4">
        <v>7.8E-2</v>
      </c>
      <c r="E20" s="5">
        <f>SUM('13. Combustible Fuentes fijas'!$K$37:$L$37)</f>
        <v>11.960790021249919</v>
      </c>
      <c r="F20" s="6">
        <f t="shared" si="0"/>
        <v>11.882790021249919</v>
      </c>
      <c r="G20" s="7">
        <f t="shared" ref="G20:H20" si="21">+D20*1000/$D$23</f>
        <v>4.0825226472709853E-6</v>
      </c>
      <c r="H20" s="7">
        <f t="shared" si="21"/>
        <v>6.2602815565391797E-4</v>
      </c>
      <c r="I20" s="7">
        <f t="shared" si="2"/>
        <v>6.2194563300664693E-4</v>
      </c>
      <c r="J20" s="8">
        <f t="shared" si="19"/>
        <v>152.3434618108964</v>
      </c>
      <c r="K20" s="1" t="s">
        <v>38</v>
      </c>
    </row>
    <row r="21" spans="1:11" ht="12" customHeight="1">
      <c r="A21" s="1"/>
      <c r="B21" s="1" t="s">
        <v>39</v>
      </c>
      <c r="C21" s="6">
        <f t="shared" ref="C21:H21" si="22">+SUM(C4:C20)</f>
        <v>50284.020817950084</v>
      </c>
      <c r="D21" s="6">
        <f t="shared" si="22"/>
        <v>35923.078000000001</v>
      </c>
      <c r="E21" s="6">
        <f t="shared" si="22"/>
        <v>28791.977348472599</v>
      </c>
      <c r="F21" s="6">
        <f t="shared" si="22"/>
        <v>-7131.1006515274003</v>
      </c>
      <c r="G21" s="11">
        <f t="shared" si="22"/>
        <v>1.8802151217266931</v>
      </c>
      <c r="H21" s="11">
        <f t="shared" si="22"/>
        <v>1.5069730716006742</v>
      </c>
      <c r="I21" s="7">
        <f t="shared" si="2"/>
        <v>-0.37324205012601896</v>
      </c>
      <c r="J21" s="8">
        <f t="shared" si="19"/>
        <v>-0.19851029055827007</v>
      </c>
      <c r="K21" s="1"/>
    </row>
    <row r="22" spans="1:11" ht="12" customHeight="1">
      <c r="A22" s="1"/>
      <c r="B22" s="1"/>
      <c r="C22" s="1"/>
      <c r="D22" s="1"/>
      <c r="E22" s="1"/>
      <c r="F22" s="1"/>
      <c r="G22" s="1"/>
      <c r="H22" s="1"/>
      <c r="I22" s="1"/>
      <c r="J22" s="1">
        <f>E21/D21-1</f>
        <v>-0.19851029055827019</v>
      </c>
      <c r="K22" s="1"/>
    </row>
    <row r="23" spans="1:11" ht="12" customHeight="1">
      <c r="A23" s="1"/>
      <c r="B23" s="1" t="s">
        <v>40</v>
      </c>
      <c r="C23" s="12">
        <v>32943152</v>
      </c>
      <c r="D23" s="12">
        <v>19105834</v>
      </c>
      <c r="E23" s="12">
        <v>19105834</v>
      </c>
      <c r="F23" s="13"/>
      <c r="G23" s="1"/>
      <c r="H23" s="1"/>
      <c r="I23" s="1"/>
      <c r="J23" s="1"/>
      <c r="K23" s="1"/>
    </row>
    <row r="24" spans="1:11" ht="12" customHeight="1">
      <c r="A24" s="1"/>
      <c r="B24" s="1" t="s">
        <v>41</v>
      </c>
      <c r="C24" s="14">
        <f t="shared" ref="C24:E24" si="23">+C21*1000/C23</f>
        <v>1.5263876637533071</v>
      </c>
      <c r="D24" s="14">
        <f t="shared" si="23"/>
        <v>1.8802151217266936</v>
      </c>
      <c r="E24" s="14">
        <f t="shared" si="23"/>
        <v>1.5069730716006744</v>
      </c>
      <c r="F24" s="13"/>
      <c r="G24" s="1"/>
      <c r="H24" s="1"/>
      <c r="I24" s="1"/>
      <c r="J24" s="1"/>
      <c r="K24" s="1"/>
    </row>
    <row r="25" spans="1:11" ht="12" customHeight="1">
      <c r="A25" s="1"/>
      <c r="B25" s="1"/>
      <c r="C25" s="15">
        <f>+C24*0.96</f>
        <v>1.4653321572031748</v>
      </c>
      <c r="D25" s="8">
        <f>E24/D24-1</f>
        <v>-0.19851029055827019</v>
      </c>
      <c r="E25" s="8">
        <f>+E24/C25-1</f>
        <v>2.8417389322143993E-2</v>
      </c>
      <c r="F25" s="1"/>
      <c r="G25" s="1"/>
      <c r="H25" s="1"/>
      <c r="I25" s="1"/>
      <c r="J25" s="1"/>
      <c r="K25" s="1"/>
    </row>
    <row r="26" spans="1:11" ht="12" customHeight="1">
      <c r="A26" s="1"/>
      <c r="B26" s="1"/>
      <c r="C26" s="1"/>
      <c r="D26" s="1"/>
      <c r="E26" s="9">
        <f>+E7+E5+E4</f>
        <v>18085</v>
      </c>
      <c r="F26" s="1"/>
      <c r="G26" s="1"/>
      <c r="H26" s="1"/>
      <c r="I26" s="1"/>
      <c r="J26" s="1"/>
      <c r="K26" s="1"/>
    </row>
    <row r="27" spans="1:11" ht="12" customHeight="1">
      <c r="A27" s="1"/>
      <c r="B27" s="1"/>
      <c r="C27" s="1"/>
      <c r="D27" s="1"/>
      <c r="E27" s="16">
        <f>+E26/E21</f>
        <v>0.62812636246254205</v>
      </c>
      <c r="F27" s="17"/>
      <c r="G27" s="1"/>
      <c r="H27" s="1"/>
      <c r="I27" s="1"/>
      <c r="J27" s="1"/>
      <c r="K27" s="1"/>
    </row>
    <row r="28" spans="1:11" ht="12" customHeight="1">
      <c r="A28" s="1"/>
      <c r="B28" s="1"/>
      <c r="C28" s="1"/>
      <c r="D28" s="9">
        <f>E21-D21</f>
        <v>-7131.1006515274021</v>
      </c>
      <c r="E28" s="1"/>
      <c r="F28" s="1"/>
      <c r="G28" s="1"/>
      <c r="H28" s="1"/>
      <c r="I28" s="1"/>
      <c r="J28" s="1"/>
      <c r="K28" s="1"/>
    </row>
    <row r="29" spans="1:11" ht="12" customHeight="1">
      <c r="A29" s="1"/>
      <c r="B29" s="1"/>
      <c r="C29" s="1"/>
      <c r="D29" s="1"/>
      <c r="E29" s="11">
        <f>D24-E24</f>
        <v>0.37324205012601919</v>
      </c>
      <c r="F29" s="1"/>
      <c r="G29" s="1"/>
      <c r="H29" s="1"/>
      <c r="I29" s="1"/>
      <c r="J29" s="1"/>
      <c r="K29" s="1"/>
    </row>
    <row r="30" spans="1:11" ht="12" customHeight="1">
      <c r="A30" s="1"/>
      <c r="B30" s="1"/>
      <c r="C30" s="1"/>
      <c r="D30" s="1"/>
      <c r="E30" s="1"/>
      <c r="F30" s="1"/>
      <c r="G30" s="1"/>
      <c r="H30" s="1"/>
      <c r="I30" s="1"/>
      <c r="J30" s="1"/>
      <c r="K30" s="1"/>
    </row>
    <row r="31" spans="1:11" ht="12" customHeight="1">
      <c r="A31" s="1"/>
      <c r="B31" s="1"/>
      <c r="C31" s="9">
        <f t="shared" ref="C31:D31" si="24">C7+C9</f>
        <v>11041.987606019684</v>
      </c>
      <c r="D31" s="9">
        <f t="shared" si="24"/>
        <v>9671</v>
      </c>
      <c r="E31" s="1"/>
      <c r="F31" s="1"/>
      <c r="G31" s="1"/>
      <c r="H31" s="1"/>
      <c r="I31" s="1"/>
      <c r="J31" s="1"/>
      <c r="K31" s="1"/>
    </row>
    <row r="32" spans="1:11" ht="12" customHeight="1">
      <c r="A32" s="1"/>
      <c r="B32" s="1"/>
      <c r="C32" s="9">
        <f t="shared" ref="C32:D32" si="25">C7+C17</f>
        <v>11041.987606019684</v>
      </c>
      <c r="D32" s="9">
        <f t="shared" si="25"/>
        <v>9671</v>
      </c>
      <c r="E32" s="1"/>
      <c r="F32" s="1"/>
      <c r="G32" s="1"/>
      <c r="H32" s="1"/>
      <c r="I32" s="1"/>
      <c r="J32" s="1"/>
      <c r="K32" s="1"/>
    </row>
  </sheetData>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sheetPr>
  <dimension ref="B3:AT109"/>
  <sheetViews>
    <sheetView workbookViewId="0"/>
  </sheetViews>
  <sheetFormatPr baseColWidth="10" defaultColWidth="12.6640625" defaultRowHeight="15" customHeight="1"/>
  <cols>
    <col min="1" max="2" width="9.109375" customWidth="1"/>
    <col min="3" max="3" width="35.88671875" customWidth="1"/>
    <col min="4" max="4" width="31.44140625" customWidth="1"/>
    <col min="5" max="5" width="9.109375" customWidth="1"/>
    <col min="6" max="6" width="21.44140625" customWidth="1"/>
    <col min="7" max="7" width="34.88671875" customWidth="1"/>
    <col min="8" max="8" width="39.109375" customWidth="1"/>
    <col min="9" max="9" width="30" customWidth="1"/>
    <col min="10" max="10" width="10.6640625" customWidth="1"/>
    <col min="11" max="11" width="31.88671875" customWidth="1"/>
    <col min="12" max="12" width="60.77734375" customWidth="1"/>
    <col min="13" max="13" width="29.33203125" customWidth="1"/>
    <col min="14" max="14" width="16.109375" customWidth="1"/>
    <col min="15" max="17" width="9.109375" customWidth="1"/>
    <col min="18" max="18" width="40" customWidth="1"/>
    <col min="19" max="34" width="9.109375" customWidth="1"/>
    <col min="35" max="35" width="48" customWidth="1"/>
    <col min="36" max="37" width="9.109375" customWidth="1"/>
    <col min="38" max="38" width="46.44140625" customWidth="1"/>
    <col min="39" max="39" width="28.88671875" customWidth="1"/>
    <col min="40" max="40" width="13.109375" customWidth="1"/>
    <col min="41" max="41" width="9.109375" customWidth="1"/>
    <col min="42" max="42" width="35.33203125" customWidth="1"/>
    <col min="43" max="46" width="9.109375" customWidth="1"/>
  </cols>
  <sheetData>
    <row r="3" spans="2:44" ht="13.5" customHeight="1">
      <c r="B3" s="20" t="s">
        <v>42</v>
      </c>
      <c r="C3" s="20"/>
      <c r="D3" s="20"/>
      <c r="E3" s="20"/>
      <c r="F3" s="20"/>
      <c r="G3" s="20"/>
      <c r="H3" s="20"/>
      <c r="I3" s="20"/>
      <c r="J3" s="20"/>
      <c r="K3" s="20"/>
      <c r="L3" s="20"/>
      <c r="M3" s="20"/>
      <c r="N3" s="20"/>
      <c r="O3" s="20"/>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row>
    <row r="4" spans="2:44" ht="13.5" customHeight="1">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row>
    <row r="5" spans="2:44" ht="13.5" customHeight="1">
      <c r="B5" s="18"/>
      <c r="C5" s="18"/>
      <c r="D5" s="18"/>
      <c r="E5" s="18"/>
      <c r="F5" s="18"/>
      <c r="G5" s="21" t="s">
        <v>43</v>
      </c>
      <c r="H5" s="22"/>
      <c r="I5" s="22"/>
      <c r="J5" s="18"/>
      <c r="K5" s="18"/>
      <c r="L5" s="18"/>
      <c r="M5" s="18"/>
      <c r="N5" s="18"/>
      <c r="O5" s="18"/>
      <c r="P5" s="18"/>
      <c r="Q5" s="18"/>
      <c r="R5" s="18"/>
      <c r="S5" s="18"/>
      <c r="T5" s="18"/>
      <c r="U5" s="18"/>
      <c r="V5" s="18"/>
      <c r="W5" s="18"/>
      <c r="X5" s="18"/>
      <c r="Y5" s="18"/>
      <c r="Z5" s="18"/>
      <c r="AA5" s="18"/>
      <c r="AB5" s="18"/>
      <c r="AC5" s="18"/>
      <c r="AD5" s="18"/>
      <c r="AE5" s="18"/>
      <c r="AF5" s="18"/>
      <c r="AG5" s="18"/>
      <c r="AH5" s="18" t="s">
        <v>44</v>
      </c>
      <c r="AI5" s="18"/>
      <c r="AJ5" s="18"/>
      <c r="AK5" s="18"/>
      <c r="AL5" s="18"/>
      <c r="AM5" s="18"/>
      <c r="AN5" s="18"/>
      <c r="AO5" s="18"/>
      <c r="AP5" s="18"/>
      <c r="AQ5" s="18"/>
      <c r="AR5" s="18"/>
    </row>
    <row r="6" spans="2:44" ht="13.5" customHeight="1">
      <c r="B6" s="18"/>
      <c r="C6" s="23" t="s">
        <v>45</v>
      </c>
      <c r="D6" s="23" t="s">
        <v>46</v>
      </c>
      <c r="E6" s="23" t="s">
        <v>47</v>
      </c>
      <c r="F6" s="18"/>
      <c r="G6" s="24" t="s">
        <v>45</v>
      </c>
      <c r="H6" s="24" t="s">
        <v>48</v>
      </c>
      <c r="I6" s="24" t="s">
        <v>49</v>
      </c>
      <c r="J6" s="25" t="s">
        <v>47</v>
      </c>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row>
    <row r="7" spans="2:44" ht="13.5" customHeight="1">
      <c r="B7" s="18"/>
      <c r="C7" s="26" t="s">
        <v>50</v>
      </c>
      <c r="D7" s="27" t="e">
        <f>SUM(I7:I9)</f>
        <v>#REF!</v>
      </c>
      <c r="E7" s="28" t="e">
        <f t="shared" ref="E7:E10" si="0">D7/$D$10</f>
        <v>#REF!</v>
      </c>
      <c r="F7" s="18"/>
      <c r="G7" s="1386" t="s">
        <v>50</v>
      </c>
      <c r="H7" s="29" t="s">
        <v>37</v>
      </c>
      <c r="I7" s="30">
        <f>+'13. Combustible Fuentes fijas'!K37</f>
        <v>11.393384229869918</v>
      </c>
      <c r="J7" s="31" t="e">
        <f t="shared" ref="J7:J18" si="1">+I7/SUM($I$7:$I$17)</f>
        <v>#REF!</v>
      </c>
      <c r="K7" s="8"/>
      <c r="L7" s="18"/>
      <c r="M7" s="32" t="e">
        <f t="shared" ref="M7:M8" si="2">+D7</f>
        <v>#REF!</v>
      </c>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row>
    <row r="8" spans="2:44" ht="13.5" customHeight="1">
      <c r="B8" s="18"/>
      <c r="C8" s="26" t="s">
        <v>51</v>
      </c>
      <c r="D8" s="27">
        <f>I10</f>
        <v>1073.2021730263682</v>
      </c>
      <c r="E8" s="28" t="e">
        <f t="shared" si="0"/>
        <v>#REF!</v>
      </c>
      <c r="F8" s="18"/>
      <c r="G8" s="1387"/>
      <c r="H8" s="29" t="s">
        <v>52</v>
      </c>
      <c r="I8" s="30" t="e">
        <v>#REF!</v>
      </c>
      <c r="J8" s="31" t="e">
        <f t="shared" si="1"/>
        <v>#REF!</v>
      </c>
      <c r="K8" s="8"/>
      <c r="L8" s="18"/>
      <c r="M8" s="32">
        <f t="shared" si="2"/>
        <v>1073.2021730263682</v>
      </c>
      <c r="N8" s="18"/>
      <c r="O8" s="18"/>
      <c r="P8" s="18"/>
      <c r="Q8" s="18"/>
      <c r="R8" s="18"/>
      <c r="S8" s="18"/>
      <c r="T8" s="18"/>
      <c r="U8" s="18"/>
      <c r="V8" s="18"/>
      <c r="W8" s="18"/>
      <c r="X8" s="18"/>
      <c r="Y8" s="18"/>
      <c r="Z8" s="18"/>
      <c r="AA8" s="18"/>
      <c r="AB8" s="18"/>
      <c r="AC8" s="18"/>
      <c r="AD8" s="18"/>
      <c r="AE8" s="18"/>
      <c r="AF8" s="18"/>
      <c r="AG8" s="18"/>
      <c r="AH8" s="18"/>
      <c r="AI8" s="33" t="s">
        <v>53</v>
      </c>
      <c r="AJ8" s="34">
        <v>5107.4998699026</v>
      </c>
      <c r="AK8" s="18"/>
      <c r="AL8" s="18" t="s">
        <v>48</v>
      </c>
      <c r="AM8" s="18">
        <v>2020</v>
      </c>
      <c r="AN8" s="18">
        <v>2021</v>
      </c>
      <c r="AO8" s="18"/>
      <c r="AP8" s="18" t="s">
        <v>48</v>
      </c>
      <c r="AQ8" s="18">
        <v>2020</v>
      </c>
      <c r="AR8" s="18">
        <v>2021</v>
      </c>
    </row>
    <row r="9" spans="2:44" ht="13.5" customHeight="1">
      <c r="B9" s="18"/>
      <c r="C9" s="26" t="s">
        <v>54</v>
      </c>
      <c r="D9" s="27" t="e">
        <f>SUM(I11:I17)</f>
        <v>#REF!</v>
      </c>
      <c r="E9" s="28" t="e">
        <f t="shared" si="0"/>
        <v>#REF!</v>
      </c>
      <c r="F9" s="19"/>
      <c r="G9" s="1388"/>
      <c r="H9" s="35" t="s">
        <v>36</v>
      </c>
      <c r="I9" s="36">
        <f>+'11. Refrigerantes'!J37</f>
        <v>263.23239999999998</v>
      </c>
      <c r="J9" s="37" t="e">
        <f t="shared" si="1"/>
        <v>#REF!</v>
      </c>
      <c r="K9" s="8" t="str">
        <f t="shared" ref="K9:K10" si="3">+C7</f>
        <v>Alcance 1</v>
      </c>
      <c r="L9" s="38" t="e">
        <f>+SUM(I7:I9)/I18</f>
        <v>#REF!</v>
      </c>
      <c r="M9" s="32" t="e">
        <f t="shared" ref="M9:M11" si="4">+I11</f>
        <v>#REF!</v>
      </c>
      <c r="N9" s="18"/>
      <c r="O9" s="18"/>
      <c r="P9" s="18"/>
      <c r="Q9" s="18"/>
      <c r="R9" s="18"/>
      <c r="S9" s="18"/>
      <c r="T9" s="18"/>
      <c r="U9" s="18"/>
      <c r="V9" s="18"/>
      <c r="W9" s="18"/>
      <c r="X9" s="18"/>
      <c r="Y9" s="18"/>
      <c r="Z9" s="18"/>
      <c r="AA9" s="18"/>
      <c r="AB9" s="18"/>
      <c r="AC9" s="18"/>
      <c r="AD9" s="18"/>
      <c r="AE9" s="18"/>
      <c r="AF9" s="18"/>
      <c r="AG9" s="18"/>
      <c r="AH9" s="18"/>
      <c r="AI9" s="33" t="s">
        <v>55</v>
      </c>
      <c r="AJ9" s="34">
        <v>35.7299132196</v>
      </c>
      <c r="AK9" s="18"/>
      <c r="AL9" s="18" t="s">
        <v>37</v>
      </c>
      <c r="AM9" s="39">
        <f>+AJ11</f>
        <v>1.651511194</v>
      </c>
      <c r="AN9" s="18">
        <v>166.35626038672001</v>
      </c>
      <c r="AO9" s="18"/>
      <c r="AP9" s="18" t="s">
        <v>37</v>
      </c>
      <c r="AQ9" s="39">
        <f t="shared" ref="AQ9:AQ12" si="5">+AM9</f>
        <v>1.651511194</v>
      </c>
      <c r="AR9" s="19">
        <f t="shared" ref="AR9:AR12" si="6">+I7</f>
        <v>11.393384229869918</v>
      </c>
    </row>
    <row r="10" spans="2:44" ht="13.5" customHeight="1">
      <c r="B10" s="18"/>
      <c r="C10" s="40" t="s">
        <v>39</v>
      </c>
      <c r="D10" s="41" t="e">
        <f>SUM(D7:D9)</f>
        <v>#REF!</v>
      </c>
      <c r="E10" s="42" t="e">
        <f t="shared" si="0"/>
        <v>#REF!</v>
      </c>
      <c r="F10" s="19"/>
      <c r="G10" s="43" t="s">
        <v>51</v>
      </c>
      <c r="H10" s="29" t="s">
        <v>25</v>
      </c>
      <c r="I10" s="30">
        <f>+'7. Energia Electrica'!X16</f>
        <v>1073.2021730263682</v>
      </c>
      <c r="J10" s="44" t="e">
        <f t="shared" si="1"/>
        <v>#REF!</v>
      </c>
      <c r="K10" s="8" t="str">
        <f t="shared" si="3"/>
        <v>Alcance 2</v>
      </c>
      <c r="L10" s="38" t="e">
        <f>+I10/I18</f>
        <v>#REF!</v>
      </c>
      <c r="M10" s="32">
        <f t="shared" si="4"/>
        <v>0</v>
      </c>
      <c r="N10" s="18"/>
      <c r="O10" s="18"/>
      <c r="P10" s="18"/>
      <c r="Q10" s="18"/>
      <c r="R10" s="18"/>
      <c r="S10" s="18"/>
      <c r="T10" s="18"/>
      <c r="U10" s="18"/>
      <c r="V10" s="18"/>
      <c r="W10" s="18"/>
      <c r="X10" s="18"/>
      <c r="Y10" s="18"/>
      <c r="Z10" s="18"/>
      <c r="AA10" s="18"/>
      <c r="AB10" s="18"/>
      <c r="AC10" s="18"/>
      <c r="AD10" s="18"/>
      <c r="AE10" s="18"/>
      <c r="AF10" s="18"/>
      <c r="AG10" s="18"/>
      <c r="AH10" s="18"/>
      <c r="AI10" s="33" t="s">
        <v>56</v>
      </c>
      <c r="AJ10" s="34">
        <v>1.4988028</v>
      </c>
      <c r="AK10" s="18"/>
      <c r="AL10" s="18" t="s">
        <v>52</v>
      </c>
      <c r="AM10" s="39">
        <f>+SUM(AJ8:AJ10)</f>
        <v>5144.7285859222002</v>
      </c>
      <c r="AN10" s="18">
        <v>4652.3625432025201</v>
      </c>
      <c r="AO10" s="18"/>
      <c r="AP10" s="18" t="s">
        <v>52</v>
      </c>
      <c r="AQ10" s="39">
        <f t="shared" si="5"/>
        <v>5144.7285859222002</v>
      </c>
      <c r="AR10" s="19" t="e">
        <f t="shared" si="6"/>
        <v>#REF!</v>
      </c>
    </row>
    <row r="11" spans="2:44" ht="13.5" customHeight="1">
      <c r="B11" s="18"/>
      <c r="C11" s="45" t="s">
        <v>57</v>
      </c>
      <c r="D11" s="46" t="e">
        <f>+I19</f>
        <v>#REF!</v>
      </c>
      <c r="E11" s="47"/>
      <c r="F11" s="18"/>
      <c r="G11" s="48" t="s">
        <v>54</v>
      </c>
      <c r="H11" s="49" t="s">
        <v>58</v>
      </c>
      <c r="I11" s="30" t="e">
        <f>+SUM('4. Transporte troncal'!J25:K25,#REF!)+#REF!+'8. Insumos y Empaque'!J27</f>
        <v>#REF!</v>
      </c>
      <c r="J11" s="44" t="e">
        <f t="shared" si="1"/>
        <v>#REF!</v>
      </c>
      <c r="K11" s="8" t="str">
        <f t="shared" ref="K11:K17" si="7">+H11</f>
        <v>Cat 1: Compra de bienes y servicios</v>
      </c>
      <c r="L11" s="38" t="e">
        <f t="shared" ref="L11:L17" si="8">+I11/$I$18</f>
        <v>#REF!</v>
      </c>
      <c r="M11" s="32" t="e">
        <f t="shared" si="4"/>
        <v>#REF!</v>
      </c>
      <c r="N11" s="18"/>
      <c r="O11" s="18"/>
      <c r="P11" s="18"/>
      <c r="Q11" s="18"/>
      <c r="R11" s="18"/>
      <c r="S11" s="18"/>
      <c r="T11" s="18"/>
      <c r="U11" s="18"/>
      <c r="V11" s="18"/>
      <c r="W11" s="18"/>
      <c r="X11" s="18"/>
      <c r="Y11" s="18"/>
      <c r="Z11" s="18"/>
      <c r="AA11" s="18"/>
      <c r="AB11" s="18"/>
      <c r="AC11" s="18"/>
      <c r="AD11" s="18"/>
      <c r="AE11" s="18"/>
      <c r="AF11" s="18"/>
      <c r="AG11" s="18"/>
      <c r="AH11" s="18"/>
      <c r="AI11" s="33" t="s">
        <v>59</v>
      </c>
      <c r="AJ11" s="50">
        <v>1.651511194</v>
      </c>
      <c r="AK11" s="18"/>
      <c r="AL11" s="18" t="s">
        <v>36</v>
      </c>
      <c r="AM11" s="18">
        <v>0</v>
      </c>
      <c r="AN11" s="18">
        <v>27.705999999999996</v>
      </c>
      <c r="AO11" s="18"/>
      <c r="AP11" s="18" t="s">
        <v>36</v>
      </c>
      <c r="AQ11" s="39">
        <f t="shared" si="5"/>
        <v>0</v>
      </c>
      <c r="AR11" s="19">
        <f t="shared" si="6"/>
        <v>263.23239999999998</v>
      </c>
    </row>
    <row r="12" spans="2:44" ht="13.5" customHeight="1">
      <c r="B12" s="18"/>
      <c r="C12" s="18"/>
      <c r="D12" s="47"/>
      <c r="E12" s="51"/>
      <c r="F12" s="18"/>
      <c r="G12" s="52"/>
      <c r="H12" s="49" t="s">
        <v>27</v>
      </c>
      <c r="I12" s="30"/>
      <c r="J12" s="44" t="e">
        <f t="shared" si="1"/>
        <v>#REF!</v>
      </c>
      <c r="K12" s="8" t="str">
        <f t="shared" si="7"/>
        <v>Cat 2: Bienes de capital</v>
      </c>
      <c r="L12" s="38" t="e">
        <f t="shared" si="8"/>
        <v>#REF!</v>
      </c>
      <c r="M12" s="53"/>
      <c r="N12" s="18"/>
      <c r="O12" s="18"/>
      <c r="P12" s="18"/>
      <c r="Q12" s="18"/>
      <c r="R12" s="18"/>
      <c r="S12" s="18"/>
      <c r="T12" s="18"/>
      <c r="U12" s="18"/>
      <c r="V12" s="18"/>
      <c r="W12" s="18"/>
      <c r="X12" s="18"/>
      <c r="Y12" s="18"/>
      <c r="Z12" s="18"/>
      <c r="AA12" s="18"/>
      <c r="AB12" s="18"/>
      <c r="AC12" s="18"/>
      <c r="AD12" s="18"/>
      <c r="AE12" s="18"/>
      <c r="AF12" s="18"/>
      <c r="AG12" s="18"/>
      <c r="AH12" s="18"/>
      <c r="AI12" s="54" t="s">
        <v>60</v>
      </c>
      <c r="AJ12" s="55">
        <v>0</v>
      </c>
      <c r="AK12" s="18"/>
      <c r="AL12" s="18" t="s">
        <v>25</v>
      </c>
      <c r="AM12" s="39">
        <f>+SUM(AJ14:AJ17)</f>
        <v>1501.4519273999999</v>
      </c>
      <c r="AN12" s="18">
        <v>1950.1518957202502</v>
      </c>
      <c r="AO12" s="18"/>
      <c r="AP12" s="18" t="s">
        <v>25</v>
      </c>
      <c r="AQ12" s="39">
        <f t="shared" si="5"/>
        <v>1501.4519273999999</v>
      </c>
      <c r="AR12" s="19">
        <f t="shared" si="6"/>
        <v>1073.2021730263682</v>
      </c>
    </row>
    <row r="13" spans="2:44" ht="13.5" customHeight="1">
      <c r="B13" s="18"/>
      <c r="C13" s="18"/>
      <c r="D13" s="56"/>
      <c r="E13" s="18"/>
      <c r="F13" s="18"/>
      <c r="G13" s="52"/>
      <c r="H13" s="29" t="s">
        <v>61</v>
      </c>
      <c r="I13" s="30" t="e">
        <v>#REF!</v>
      </c>
      <c r="J13" s="44" t="e">
        <f t="shared" si="1"/>
        <v>#REF!</v>
      </c>
      <c r="K13" s="8" t="str">
        <f t="shared" si="7"/>
        <v>Cat 3: Otras emisiones de energía y combustibles</v>
      </c>
      <c r="L13" s="38" t="e">
        <f t="shared" si="8"/>
        <v>#REF!</v>
      </c>
      <c r="M13" s="57" t="e">
        <f>+#REF!</f>
        <v>#REF!</v>
      </c>
      <c r="N13" s="18"/>
      <c r="O13" s="18"/>
      <c r="P13" s="18"/>
      <c r="Q13" s="18"/>
      <c r="R13" s="18"/>
      <c r="S13" s="18"/>
      <c r="T13" s="18"/>
      <c r="U13" s="18"/>
      <c r="V13" s="18"/>
      <c r="W13" s="18"/>
      <c r="X13" s="18"/>
      <c r="Y13" s="18"/>
      <c r="Z13" s="18"/>
      <c r="AA13" s="18"/>
      <c r="AB13" s="18"/>
      <c r="AC13" s="18"/>
      <c r="AD13" s="18"/>
      <c r="AE13" s="18"/>
      <c r="AF13" s="18"/>
      <c r="AG13" s="18"/>
      <c r="AH13" s="18"/>
      <c r="AI13" s="58" t="s">
        <v>62</v>
      </c>
      <c r="AJ13" s="59"/>
      <c r="AK13" s="18"/>
      <c r="AL13" s="18" t="s">
        <v>58</v>
      </c>
      <c r="AM13" s="39">
        <f>+SUM(AJ19:AJ24)</f>
        <v>16114.953736000001</v>
      </c>
      <c r="AN13" s="18">
        <v>39159.103188565277</v>
      </c>
      <c r="AO13" s="18"/>
      <c r="AP13" s="18" t="s">
        <v>28</v>
      </c>
      <c r="AQ13" s="39">
        <f>+AI31</f>
        <v>1459.6755159999998</v>
      </c>
      <c r="AR13" s="19">
        <f>+M94</f>
        <v>1972.9830394748069</v>
      </c>
    </row>
    <row r="14" spans="2:44" ht="13.5" customHeight="1">
      <c r="B14" s="18"/>
      <c r="C14" s="18"/>
      <c r="D14" s="18"/>
      <c r="E14" s="18"/>
      <c r="F14" s="18"/>
      <c r="G14" s="52"/>
      <c r="H14" s="29" t="s">
        <v>30</v>
      </c>
      <c r="I14" s="30">
        <f>+SUM('9. Residuos'!N25:O25)</f>
        <v>317.55458951113644</v>
      </c>
      <c r="J14" s="44" t="e">
        <f t="shared" si="1"/>
        <v>#REF!</v>
      </c>
      <c r="K14" s="8" t="str">
        <f t="shared" si="7"/>
        <v>Cat 5: Residuos generados en las operaciones</v>
      </c>
      <c r="L14" s="38" t="e">
        <f t="shared" si="8"/>
        <v>#REF!</v>
      </c>
      <c r="M14" s="32">
        <f t="shared" ref="M14:M16" si="9">+I14</f>
        <v>317.55458951113644</v>
      </c>
      <c r="N14" s="18"/>
      <c r="O14" s="18"/>
      <c r="P14" s="18"/>
      <c r="Q14" s="18"/>
      <c r="R14" s="18"/>
      <c r="S14" s="18"/>
      <c r="T14" s="18"/>
      <c r="U14" s="18"/>
      <c r="V14" s="18"/>
      <c r="W14" s="18"/>
      <c r="X14" s="18"/>
      <c r="Y14" s="18"/>
      <c r="Z14" s="18"/>
      <c r="AA14" s="18"/>
      <c r="AB14" s="18"/>
      <c r="AC14" s="18"/>
      <c r="AD14" s="18"/>
      <c r="AE14" s="18"/>
      <c r="AF14" s="18"/>
      <c r="AG14" s="18"/>
      <c r="AH14" s="18"/>
      <c r="AI14" s="33" t="s">
        <v>63</v>
      </c>
      <c r="AJ14" s="34">
        <v>0</v>
      </c>
      <c r="AK14" s="18"/>
      <c r="AL14" s="18" t="s">
        <v>27</v>
      </c>
      <c r="AM14" s="18">
        <v>0</v>
      </c>
      <c r="AN14" s="18">
        <v>1158.1922191625754</v>
      </c>
      <c r="AO14" s="18"/>
      <c r="AP14" s="18" t="s">
        <v>64</v>
      </c>
      <c r="AQ14" s="39">
        <f>+AJ19</f>
        <v>7084.2782200000001</v>
      </c>
      <c r="AR14" s="19">
        <f>+M87</f>
        <v>10100</v>
      </c>
    </row>
    <row r="15" spans="2:44" ht="13.5" customHeight="1">
      <c r="B15" s="18"/>
      <c r="C15" s="18"/>
      <c r="D15" s="18"/>
      <c r="E15" s="18"/>
      <c r="F15" s="18"/>
      <c r="G15" s="52"/>
      <c r="H15" s="29" t="s">
        <v>34</v>
      </c>
      <c r="I15" s="30"/>
      <c r="J15" s="44" t="e">
        <f t="shared" si="1"/>
        <v>#REF!</v>
      </c>
      <c r="K15" s="8" t="str">
        <f t="shared" si="7"/>
        <v>Cat 6: Viajes de negocio</v>
      </c>
      <c r="L15" s="38" t="e">
        <f t="shared" si="8"/>
        <v>#REF!</v>
      </c>
      <c r="M15" s="32">
        <f t="shared" si="9"/>
        <v>0</v>
      </c>
      <c r="N15" s="18"/>
      <c r="O15" s="18"/>
      <c r="P15" s="18"/>
      <c r="Q15" s="18"/>
      <c r="R15" s="18"/>
      <c r="S15" s="18"/>
      <c r="T15" s="18"/>
      <c r="U15" s="18"/>
      <c r="V15" s="18"/>
      <c r="W15" s="18"/>
      <c r="X15" s="18"/>
      <c r="Y15" s="18"/>
      <c r="Z15" s="18"/>
      <c r="AA15" s="18"/>
      <c r="AB15" s="18"/>
      <c r="AC15" s="18"/>
      <c r="AD15" s="18"/>
      <c r="AE15" s="18"/>
      <c r="AF15" s="18"/>
      <c r="AG15" s="18"/>
      <c r="AH15" s="18"/>
      <c r="AI15" s="33" t="s">
        <v>65</v>
      </c>
      <c r="AJ15" s="34">
        <v>11.469488</v>
      </c>
      <c r="AK15" s="18"/>
      <c r="AL15" s="18" t="s">
        <v>66</v>
      </c>
      <c r="AM15" s="18">
        <v>0</v>
      </c>
      <c r="AN15" s="18">
        <v>510.46359151509296</v>
      </c>
      <c r="AO15" s="18"/>
      <c r="AP15" s="18" t="s">
        <v>10</v>
      </c>
      <c r="AQ15" s="39">
        <f>+AJ21</f>
        <v>7571</v>
      </c>
      <c r="AR15" s="19" t="e">
        <f>+M90</f>
        <v>#REF!</v>
      </c>
    </row>
    <row r="16" spans="2:44" ht="13.5" customHeight="1">
      <c r="B16" s="18"/>
      <c r="C16" s="18"/>
      <c r="D16" s="18"/>
      <c r="E16" s="18"/>
      <c r="F16" s="18"/>
      <c r="G16" s="52"/>
      <c r="H16" s="29" t="s">
        <v>18</v>
      </c>
      <c r="I16" s="30">
        <f>+'A3- Transporte colaboradores 2'!P7</f>
        <v>0</v>
      </c>
      <c r="J16" s="44" t="e">
        <f t="shared" si="1"/>
        <v>#REF!</v>
      </c>
      <c r="K16" s="8" t="str">
        <f t="shared" si="7"/>
        <v>Cat 7: Traslado de trabajadores</v>
      </c>
      <c r="L16" s="38" t="e">
        <f t="shared" si="8"/>
        <v>#REF!</v>
      </c>
      <c r="M16" s="32">
        <f t="shared" si="9"/>
        <v>0</v>
      </c>
      <c r="N16" s="18"/>
      <c r="O16" s="18"/>
      <c r="P16" s="18"/>
      <c r="Q16" s="18"/>
      <c r="R16" s="18"/>
      <c r="S16" s="18"/>
      <c r="T16" s="18"/>
      <c r="U16" s="18"/>
      <c r="V16" s="18"/>
      <c r="W16" s="18"/>
      <c r="X16" s="18"/>
      <c r="Y16" s="18"/>
      <c r="Z16" s="18"/>
      <c r="AA16" s="18"/>
      <c r="AB16" s="18"/>
      <c r="AC16" s="18"/>
      <c r="AD16" s="18"/>
      <c r="AE16" s="18"/>
      <c r="AF16" s="18"/>
      <c r="AG16" s="18"/>
      <c r="AH16" s="18"/>
      <c r="AI16" s="33" t="s">
        <v>67</v>
      </c>
      <c r="AJ16" s="34">
        <v>16.575856000000002</v>
      </c>
      <c r="AK16" s="18"/>
      <c r="AL16" s="18" t="s">
        <v>30</v>
      </c>
      <c r="AM16" s="18">
        <v>0</v>
      </c>
      <c r="AN16" s="18">
        <v>526.68069204438962</v>
      </c>
      <c r="AO16" s="18"/>
      <c r="AP16" s="18" t="s">
        <v>68</v>
      </c>
      <c r="AQ16" s="18">
        <v>0</v>
      </c>
      <c r="AR16" s="19" t="e">
        <f>+M91+H35</f>
        <v>#REF!</v>
      </c>
    </row>
    <row r="17" spans="7:46" ht="13.5" customHeight="1">
      <c r="G17" s="52"/>
      <c r="H17" s="29" t="s">
        <v>24</v>
      </c>
      <c r="I17" s="30">
        <f>+'8. Insumos y Empaque'!K27</f>
        <v>539.33995764164411</v>
      </c>
      <c r="J17" s="44" t="e">
        <f t="shared" si="1"/>
        <v>#REF!</v>
      </c>
      <c r="K17" s="8" t="str">
        <f t="shared" si="7"/>
        <v>Cat 12: Fin de vida de productos vendidos</v>
      </c>
      <c r="L17" s="38" t="e">
        <f t="shared" si="8"/>
        <v>#REF!</v>
      </c>
      <c r="M17" s="53" t="e">
        <f t="shared" ref="M17:M20" si="10">+#REF!</f>
        <v>#REF!</v>
      </c>
      <c r="N17" s="18"/>
      <c r="O17" s="18"/>
      <c r="P17" s="18"/>
      <c r="Q17" s="18"/>
      <c r="R17" s="18"/>
      <c r="S17" s="18"/>
      <c r="T17" s="18"/>
      <c r="U17" s="18"/>
      <c r="V17" s="18"/>
      <c r="W17" s="18"/>
      <c r="X17" s="18"/>
      <c r="Y17" s="18"/>
      <c r="Z17" s="18"/>
      <c r="AA17" s="18"/>
      <c r="AB17" s="18"/>
      <c r="AC17" s="18"/>
      <c r="AD17" s="18"/>
      <c r="AE17" s="18"/>
      <c r="AF17" s="18"/>
      <c r="AG17" s="18"/>
      <c r="AH17" s="18"/>
      <c r="AI17" s="54" t="s">
        <v>69</v>
      </c>
      <c r="AJ17" s="60">
        <v>1473.4065834</v>
      </c>
      <c r="AK17" s="18"/>
      <c r="AL17" s="18" t="s">
        <v>34</v>
      </c>
      <c r="AM17" s="18">
        <v>0</v>
      </c>
      <c r="AN17" s="18">
        <v>331.45871348735329</v>
      </c>
      <c r="AO17" s="18"/>
      <c r="AP17" s="18" t="s">
        <v>27</v>
      </c>
      <c r="AQ17" s="18">
        <v>0</v>
      </c>
      <c r="AR17" s="19">
        <f>+M109</f>
        <v>0</v>
      </c>
      <c r="AS17" s="18"/>
      <c r="AT17" s="18"/>
    </row>
    <row r="18" spans="7:46" ht="13.5" customHeight="1">
      <c r="G18" s="52"/>
      <c r="H18" s="61" t="s">
        <v>39</v>
      </c>
      <c r="I18" s="62" t="e">
        <f>+SUM(I7:I17)</f>
        <v>#REF!</v>
      </c>
      <c r="J18" s="44" t="e">
        <f t="shared" si="1"/>
        <v>#REF!</v>
      </c>
      <c r="K18" s="8"/>
      <c r="L18" s="38"/>
      <c r="M18" s="32" t="e">
        <f t="shared" si="10"/>
        <v>#REF!</v>
      </c>
      <c r="N18" s="18"/>
      <c r="O18" s="18"/>
      <c r="P18" s="18"/>
      <c r="Q18" s="18"/>
      <c r="R18" s="18"/>
      <c r="S18" s="18"/>
      <c r="T18" s="18"/>
      <c r="U18" s="18"/>
      <c r="V18" s="18"/>
      <c r="W18" s="18"/>
      <c r="X18" s="18"/>
      <c r="Y18" s="18"/>
      <c r="Z18" s="18"/>
      <c r="AA18" s="18"/>
      <c r="AB18" s="18"/>
      <c r="AC18" s="18"/>
      <c r="AD18" s="18"/>
      <c r="AE18" s="18"/>
      <c r="AF18" s="18"/>
      <c r="AG18" s="18"/>
      <c r="AH18" s="18"/>
      <c r="AI18" s="58" t="s">
        <v>70</v>
      </c>
      <c r="AJ18" s="59"/>
      <c r="AK18" s="18"/>
      <c r="AL18" s="18" t="s">
        <v>18</v>
      </c>
      <c r="AM18" s="18">
        <v>0</v>
      </c>
      <c r="AN18" s="18">
        <v>2397.8628578969101</v>
      </c>
      <c r="AO18" s="18"/>
      <c r="AP18" s="18" t="s">
        <v>66</v>
      </c>
      <c r="AQ18" s="18">
        <v>0</v>
      </c>
      <c r="AR18" s="19" t="e">
        <f t="shared" ref="AR18:AR22" si="11">+I13</f>
        <v>#REF!</v>
      </c>
      <c r="AS18" s="18"/>
      <c r="AT18" s="18"/>
    </row>
    <row r="19" spans="7:46" ht="13.5" customHeight="1">
      <c r="G19" s="63"/>
      <c r="H19" s="64" t="s">
        <v>57</v>
      </c>
      <c r="I19" s="65" t="e">
        <f>+#REF!</f>
        <v>#REF!</v>
      </c>
      <c r="J19" s="44"/>
      <c r="K19" s="18"/>
      <c r="L19" s="18"/>
      <c r="M19" s="53" t="e">
        <f t="shared" si="10"/>
        <v>#REF!</v>
      </c>
      <c r="N19" s="18"/>
      <c r="O19" s="18"/>
      <c r="P19" s="18"/>
      <c r="Q19" s="18"/>
      <c r="R19" s="18"/>
      <c r="S19" s="18"/>
      <c r="T19" s="18"/>
      <c r="U19" s="18"/>
      <c r="V19" s="18"/>
      <c r="W19" s="18"/>
      <c r="X19" s="18"/>
      <c r="Y19" s="18"/>
      <c r="Z19" s="18"/>
      <c r="AA19" s="18"/>
      <c r="AB19" s="18"/>
      <c r="AC19" s="18"/>
      <c r="AD19" s="18"/>
      <c r="AE19" s="18"/>
      <c r="AF19" s="18"/>
      <c r="AG19" s="18"/>
      <c r="AH19" s="18"/>
      <c r="AI19" s="33" t="s">
        <v>71</v>
      </c>
      <c r="AJ19" s="50">
        <v>7084.2782200000001</v>
      </c>
      <c r="AK19" s="18"/>
      <c r="AL19" s="18" t="s">
        <v>24</v>
      </c>
      <c r="AM19" s="18">
        <v>0</v>
      </c>
      <c r="AN19" s="18">
        <v>1.7560997166185439</v>
      </c>
      <c r="AO19" s="18"/>
      <c r="AP19" s="18" t="s">
        <v>30</v>
      </c>
      <c r="AQ19" s="18">
        <v>0</v>
      </c>
      <c r="AR19" s="19">
        <f t="shared" si="11"/>
        <v>317.55458951113644</v>
      </c>
      <c r="AS19" s="18"/>
      <c r="AT19" s="18"/>
    </row>
    <row r="20" spans="7:46" ht="13.5" customHeight="1">
      <c r="G20" s="66"/>
      <c r="H20" s="18"/>
      <c r="I20" s="18"/>
      <c r="J20" s="18"/>
      <c r="K20" s="18"/>
      <c r="L20" s="18"/>
      <c r="M20" s="53" t="e">
        <f t="shared" si="10"/>
        <v>#REF!</v>
      </c>
      <c r="N20" s="18"/>
      <c r="O20" s="18"/>
      <c r="P20" s="18"/>
      <c r="Q20" s="18"/>
      <c r="R20" s="18"/>
      <c r="S20" s="18"/>
      <c r="T20" s="18"/>
      <c r="U20" s="18"/>
      <c r="V20" s="18"/>
      <c r="W20" s="18"/>
      <c r="X20" s="18"/>
      <c r="Y20" s="18"/>
      <c r="Z20" s="18"/>
      <c r="AA20" s="18"/>
      <c r="AB20" s="18"/>
      <c r="AC20" s="18"/>
      <c r="AD20" s="18"/>
      <c r="AE20" s="18"/>
      <c r="AF20" s="18"/>
      <c r="AG20" s="18"/>
      <c r="AH20" s="18"/>
      <c r="AI20" s="33" t="s">
        <v>72</v>
      </c>
      <c r="AJ20" s="34">
        <v>0</v>
      </c>
      <c r="AK20" s="18"/>
      <c r="AL20" s="18" t="s">
        <v>73</v>
      </c>
      <c r="AM20" s="18">
        <v>0</v>
      </c>
      <c r="AN20" s="18">
        <v>357.15594221429581</v>
      </c>
      <c r="AO20" s="18"/>
      <c r="AP20" s="18" t="s">
        <v>34</v>
      </c>
      <c r="AQ20" s="18">
        <v>0</v>
      </c>
      <c r="AR20" s="19">
        <f t="shared" si="11"/>
        <v>0</v>
      </c>
      <c r="AS20" s="18"/>
      <c r="AT20" s="18"/>
    </row>
    <row r="21" spans="7:46" ht="13.5" customHeight="1">
      <c r="G21" s="18"/>
      <c r="H21" s="18"/>
      <c r="I21" s="18"/>
      <c r="J21" s="47"/>
      <c r="K21" s="8"/>
      <c r="L21" s="38" t="e">
        <f>+SUM(L9:L18)</f>
        <v>#REF!</v>
      </c>
      <c r="M21" s="32">
        <f>+I17</f>
        <v>539.33995764164411</v>
      </c>
      <c r="N21" s="18"/>
      <c r="O21" s="18"/>
      <c r="P21" s="18"/>
      <c r="Q21" s="18"/>
      <c r="R21" s="18"/>
      <c r="S21" s="18"/>
      <c r="T21" s="18"/>
      <c r="U21" s="18"/>
      <c r="V21" s="18"/>
      <c r="W21" s="18"/>
      <c r="X21" s="18"/>
      <c r="Y21" s="18"/>
      <c r="Z21" s="18"/>
      <c r="AA21" s="18"/>
      <c r="AB21" s="18"/>
      <c r="AC21" s="18"/>
      <c r="AD21" s="18"/>
      <c r="AE21" s="18"/>
      <c r="AF21" s="18"/>
      <c r="AG21" s="18"/>
      <c r="AH21" s="18"/>
      <c r="AI21" s="33" t="s">
        <v>74</v>
      </c>
      <c r="AJ21" s="67">
        <v>7571</v>
      </c>
      <c r="AK21" s="18"/>
      <c r="AL21" s="18" t="s">
        <v>39</v>
      </c>
      <c r="AM21" s="39">
        <f>+SUM(AM9:AM20)</f>
        <v>22762.785760516199</v>
      </c>
      <c r="AN21" s="18">
        <v>51239.250003912006</v>
      </c>
      <c r="AO21" s="18"/>
      <c r="AP21" s="18" t="s">
        <v>18</v>
      </c>
      <c r="AQ21" s="18">
        <v>0</v>
      </c>
      <c r="AR21" s="19">
        <f t="shared" si="11"/>
        <v>0</v>
      </c>
      <c r="AS21" s="18"/>
      <c r="AT21" s="18"/>
    </row>
    <row r="22" spans="7:46" ht="13.5" customHeight="1">
      <c r="G22" s="66"/>
      <c r="H22" s="18"/>
      <c r="I22" s="19"/>
      <c r="J22" s="18"/>
      <c r="K22" s="18"/>
      <c r="L22" s="18"/>
      <c r="M22" s="32">
        <f>+I23</f>
        <v>0</v>
      </c>
      <c r="N22" s="18"/>
      <c r="O22" s="18"/>
      <c r="P22" s="18"/>
      <c r="Q22" s="18"/>
      <c r="R22" s="18"/>
      <c r="S22" s="18"/>
      <c r="T22" s="18"/>
      <c r="U22" s="18"/>
      <c r="V22" s="18"/>
      <c r="W22" s="18"/>
      <c r="X22" s="18"/>
      <c r="Y22" s="18"/>
      <c r="Z22" s="18"/>
      <c r="AA22" s="18"/>
      <c r="AB22" s="18"/>
      <c r="AC22" s="18"/>
      <c r="AD22" s="18"/>
      <c r="AE22" s="18"/>
      <c r="AF22" s="18"/>
      <c r="AG22" s="18"/>
      <c r="AH22" s="18"/>
      <c r="AI22" s="33" t="s">
        <v>75</v>
      </c>
      <c r="AJ22" s="34">
        <v>611.93409299999996</v>
      </c>
      <c r="AK22" s="18"/>
      <c r="AL22" s="18" t="s">
        <v>57</v>
      </c>
      <c r="AM22" s="18"/>
      <c r="AN22" s="18">
        <v>9139.2273893154343</v>
      </c>
      <c r="AO22" s="18"/>
      <c r="AP22" s="18" t="s">
        <v>24</v>
      </c>
      <c r="AQ22" s="18">
        <v>0</v>
      </c>
      <c r="AR22" s="19">
        <f t="shared" si="11"/>
        <v>539.33995764164411</v>
      </c>
      <c r="AS22" s="18"/>
      <c r="AT22" s="18"/>
    </row>
    <row r="23" spans="7:46" ht="13.5" customHeight="1">
      <c r="G23" s="66"/>
      <c r="H23" s="68"/>
      <c r="I23" s="19"/>
      <c r="J23" s="69"/>
      <c r="K23" s="8"/>
      <c r="L23" s="38"/>
      <c r="M23" s="53" t="e">
        <f>+#REF!</f>
        <v>#REF!</v>
      </c>
      <c r="N23" s="18"/>
      <c r="O23" s="18"/>
      <c r="P23" s="18"/>
      <c r="Q23" s="18"/>
      <c r="R23" s="18"/>
      <c r="S23" s="18"/>
      <c r="T23" s="18"/>
      <c r="U23" s="18"/>
      <c r="V23" s="18"/>
      <c r="W23" s="18"/>
      <c r="X23" s="18"/>
      <c r="Y23" s="18"/>
      <c r="Z23" s="18"/>
      <c r="AA23" s="18"/>
      <c r="AB23" s="18"/>
      <c r="AC23" s="18"/>
      <c r="AD23" s="18"/>
      <c r="AE23" s="18"/>
      <c r="AF23" s="18"/>
      <c r="AG23" s="18"/>
      <c r="AH23" s="18"/>
      <c r="AI23" s="33" t="s">
        <v>76</v>
      </c>
      <c r="AJ23" s="34">
        <v>681.98325999999997</v>
      </c>
      <c r="AK23" s="18"/>
      <c r="AL23" s="18"/>
      <c r="AM23" s="18"/>
      <c r="AN23" s="18"/>
      <c r="AO23" s="18"/>
      <c r="AP23" s="18" t="s">
        <v>73</v>
      </c>
      <c r="AQ23" s="18">
        <v>0</v>
      </c>
      <c r="AR23" s="19" t="e">
        <f>+#REF!</f>
        <v>#REF!</v>
      </c>
      <c r="AS23" s="18"/>
      <c r="AT23" s="18"/>
    </row>
    <row r="24" spans="7:46" ht="13.5" customHeight="1">
      <c r="G24" s="66"/>
      <c r="H24" s="18"/>
      <c r="I24" s="19"/>
      <c r="J24" s="18"/>
      <c r="K24" s="18"/>
      <c r="L24" s="18"/>
      <c r="M24" s="32">
        <f>+I25</f>
        <v>0</v>
      </c>
      <c r="N24" s="18"/>
      <c r="O24" s="18"/>
      <c r="P24" s="18"/>
      <c r="Q24" s="18"/>
      <c r="R24" s="18"/>
      <c r="S24" s="18"/>
      <c r="T24" s="18"/>
      <c r="U24" s="18"/>
      <c r="V24" s="18"/>
      <c r="W24" s="18"/>
      <c r="X24" s="18"/>
      <c r="Y24" s="18"/>
      <c r="Z24" s="18"/>
      <c r="AA24" s="18"/>
      <c r="AB24" s="18"/>
      <c r="AC24" s="18"/>
      <c r="AD24" s="18"/>
      <c r="AE24" s="18"/>
      <c r="AF24" s="18"/>
      <c r="AG24" s="18"/>
      <c r="AH24" s="18"/>
      <c r="AI24" s="54" t="s">
        <v>77</v>
      </c>
      <c r="AJ24" s="55">
        <v>165.758163</v>
      </c>
      <c r="AK24" s="18"/>
      <c r="AL24" s="18"/>
      <c r="AM24" s="18"/>
      <c r="AN24" s="18"/>
      <c r="AO24" s="18"/>
      <c r="AP24" s="18"/>
      <c r="AQ24" s="39">
        <f t="shared" ref="AQ24:AR24" si="12">+SUM(AQ9:AQ23)</f>
        <v>22762.785760516199</v>
      </c>
      <c r="AR24" s="39" t="e">
        <f t="shared" si="12"/>
        <v>#REF!</v>
      </c>
      <c r="AS24" s="18"/>
      <c r="AT24" s="18"/>
    </row>
    <row r="25" spans="7:46" ht="13.5" customHeight="1">
      <c r="G25" s="66"/>
      <c r="H25" s="68"/>
      <c r="I25" s="19"/>
      <c r="J25" s="69"/>
      <c r="K25" s="8"/>
      <c r="L25" s="38"/>
      <c r="M25" s="18"/>
      <c r="N25" s="18"/>
      <c r="O25" s="18"/>
      <c r="P25" s="18"/>
      <c r="Q25" s="18"/>
      <c r="R25" s="18"/>
      <c r="S25" s="18"/>
      <c r="T25" s="18"/>
      <c r="U25" s="18"/>
      <c r="V25" s="18"/>
      <c r="W25" s="18"/>
      <c r="X25" s="18"/>
      <c r="Y25" s="18"/>
      <c r="Z25" s="18"/>
      <c r="AA25" s="18"/>
      <c r="AB25" s="18"/>
      <c r="AC25" s="18"/>
      <c r="AD25" s="18"/>
      <c r="AE25" s="18"/>
      <c r="AF25" s="18"/>
      <c r="AG25" s="18"/>
      <c r="AH25" s="18"/>
      <c r="AI25" s="70" t="s">
        <v>78</v>
      </c>
      <c r="AJ25" s="71"/>
      <c r="AK25" s="18"/>
      <c r="AL25" s="18"/>
      <c r="AM25" s="18"/>
      <c r="AN25" s="18"/>
      <c r="AO25" s="18"/>
      <c r="AP25" s="18"/>
      <c r="AQ25" s="18"/>
      <c r="AR25" s="18"/>
      <c r="AS25" s="18"/>
      <c r="AT25" s="18"/>
    </row>
    <row r="26" spans="7:46" ht="13.5" customHeight="1">
      <c r="G26" s="18"/>
      <c r="H26" s="18"/>
      <c r="I26" s="19"/>
      <c r="J26" s="18"/>
      <c r="K26" s="72"/>
      <c r="L26" s="38"/>
      <c r="M26" s="18"/>
      <c r="N26" s="18"/>
      <c r="O26" s="18"/>
      <c r="P26" s="18"/>
      <c r="Q26" s="18"/>
      <c r="R26" s="18"/>
      <c r="S26" s="18"/>
      <c r="T26" s="18"/>
      <c r="U26" s="18"/>
      <c r="V26" s="18"/>
      <c r="W26" s="18"/>
      <c r="X26" s="18"/>
      <c r="Y26" s="18"/>
      <c r="Z26" s="18"/>
      <c r="AA26" s="18"/>
      <c r="AB26" s="18"/>
      <c r="AC26" s="18"/>
      <c r="AD26" s="18"/>
      <c r="AE26" s="18"/>
      <c r="AF26" s="18"/>
      <c r="AG26" s="18"/>
      <c r="AH26" s="18"/>
      <c r="AI26" s="54" t="s">
        <v>79</v>
      </c>
      <c r="AJ26" s="73">
        <v>0</v>
      </c>
      <c r="AK26" s="18"/>
      <c r="AL26" s="18"/>
      <c r="AM26" s="18"/>
      <c r="AN26" s="18"/>
      <c r="AO26" s="18"/>
      <c r="AP26" s="18"/>
      <c r="AQ26" s="18"/>
      <c r="AR26" s="18"/>
      <c r="AS26" s="18"/>
      <c r="AT26" s="18"/>
    </row>
    <row r="27" spans="7:46" ht="13.5" customHeight="1">
      <c r="G27" s="18"/>
      <c r="H27" s="18"/>
      <c r="I27" s="18"/>
      <c r="J27" s="18"/>
      <c r="K27" s="72"/>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row>
    <row r="28" spans="7:46" ht="13.5" customHeight="1">
      <c r="G28" s="18"/>
      <c r="H28" s="19"/>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row>
    <row r="29" spans="7:46" ht="13.5" customHeight="1">
      <c r="G29" s="18"/>
      <c r="H29" s="18"/>
      <c r="I29" s="72"/>
      <c r="J29" s="18"/>
      <c r="K29" s="74"/>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row>
    <row r="30" spans="7:46" ht="13.5" customHeight="1">
      <c r="G30" s="18"/>
      <c r="H30" s="75"/>
      <c r="I30" s="76"/>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row>
    <row r="31" spans="7:46" ht="13.5" customHeight="1">
      <c r="G31" s="18"/>
      <c r="H31" s="18"/>
      <c r="I31" s="77"/>
      <c r="J31" s="18"/>
      <c r="K31" s="72"/>
      <c r="L31" s="18"/>
      <c r="M31" s="18"/>
      <c r="N31" s="18"/>
      <c r="O31" s="18"/>
      <c r="P31" s="18"/>
      <c r="Q31" s="18"/>
      <c r="R31" s="18"/>
      <c r="S31" s="18"/>
      <c r="T31" s="18"/>
      <c r="U31" s="18"/>
      <c r="V31" s="18"/>
      <c r="W31" s="18"/>
      <c r="X31" s="18"/>
      <c r="Y31" s="18"/>
      <c r="Z31" s="18"/>
      <c r="AA31" s="18"/>
      <c r="AB31" s="18"/>
      <c r="AC31" s="18"/>
      <c r="AD31" s="18"/>
      <c r="AE31" s="18"/>
      <c r="AF31" s="18"/>
      <c r="AG31" s="18"/>
      <c r="AH31" s="18"/>
      <c r="AI31" s="39">
        <f>+SUM(AJ22:AJ24)</f>
        <v>1459.6755159999998</v>
      </c>
      <c r="AJ31" s="18"/>
      <c r="AK31" s="18"/>
      <c r="AL31" s="18"/>
      <c r="AM31" s="18"/>
      <c r="AN31" s="18"/>
      <c r="AO31" s="18"/>
      <c r="AP31" s="18"/>
      <c r="AQ31" s="18"/>
      <c r="AR31" s="18"/>
      <c r="AS31" s="18"/>
      <c r="AT31" s="18"/>
    </row>
    <row r="32" spans="7:46" ht="13.5" customHeight="1">
      <c r="G32" s="78" t="s">
        <v>80</v>
      </c>
      <c r="H32" s="24" t="s">
        <v>81</v>
      </c>
      <c r="I32" s="79"/>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t="e">
        <f>+(AR24-AQ24)/AQ24</f>
        <v>#REF!</v>
      </c>
    </row>
    <row r="33" spans="7:9" ht="13.5" customHeight="1">
      <c r="G33" s="64" t="s">
        <v>82</v>
      </c>
      <c r="H33" s="30">
        <f>+SUM('4. Transporte troncal'!J25:K25)</f>
        <v>11041.760239566682</v>
      </c>
      <c r="I33" s="72" t="e">
        <f t="shared" ref="I33:I37" si="13">+H33/$H$38</f>
        <v>#REF!</v>
      </c>
    </row>
    <row r="34" spans="7:9" ht="13.5" customHeight="1">
      <c r="G34" s="64" t="s">
        <v>83</v>
      </c>
      <c r="H34" s="30" t="e">
        <f t="shared" ref="H34:H35" si="14">+#REF!</f>
        <v>#REF!</v>
      </c>
      <c r="I34" s="72" t="e">
        <f t="shared" si="13"/>
        <v>#REF!</v>
      </c>
    </row>
    <row r="35" spans="7:9" ht="13.5" customHeight="1">
      <c r="G35" s="80" t="s">
        <v>84</v>
      </c>
      <c r="H35" s="30" t="e">
        <f t="shared" si="14"/>
        <v>#REF!</v>
      </c>
      <c r="I35" s="72" t="e">
        <f t="shared" si="13"/>
        <v>#REF!</v>
      </c>
    </row>
    <row r="36" spans="7:9" ht="13.5" customHeight="1">
      <c r="G36" s="80" t="s">
        <v>85</v>
      </c>
      <c r="H36" s="30">
        <f>+'8. Insumos y Empaque'!J27</f>
        <v>979.73984336152455</v>
      </c>
      <c r="I36" s="72" t="e">
        <f t="shared" si="13"/>
        <v>#REF!</v>
      </c>
    </row>
    <row r="37" spans="7:9" ht="13.5" customHeight="1">
      <c r="G37" s="80" t="s">
        <v>86</v>
      </c>
      <c r="H37" s="30" t="e">
        <f>+#REF!</f>
        <v>#REF!</v>
      </c>
      <c r="I37" s="72" t="e">
        <f t="shared" si="13"/>
        <v>#REF!</v>
      </c>
    </row>
    <row r="38" spans="7:9" ht="13.5" customHeight="1">
      <c r="G38" s="81" t="s">
        <v>87</v>
      </c>
      <c r="H38" s="30" t="e">
        <f>+SUM(H33:H37)</f>
        <v>#REF!</v>
      </c>
      <c r="I38" s="56"/>
    </row>
    <row r="80" spans="13:14" ht="13.5" customHeight="1">
      <c r="M80" s="18"/>
      <c r="N80" s="19" t="e">
        <f>+SUM(M87:M91)</f>
        <v>#REF!</v>
      </c>
    </row>
    <row r="81" spans="12:21" ht="13.5" customHeight="1">
      <c r="L81" s="18"/>
      <c r="M81" s="19">
        <f>+M87+M88+M89</f>
        <v>21141.514907747463</v>
      </c>
      <c r="N81" s="18"/>
      <c r="O81" s="18"/>
      <c r="P81" s="18"/>
      <c r="Q81" s="18"/>
      <c r="R81" s="18"/>
      <c r="S81" s="18"/>
      <c r="T81" s="18"/>
      <c r="U81" s="18"/>
    </row>
    <row r="82" spans="12:21" ht="13.5" customHeight="1">
      <c r="L82" s="18"/>
      <c r="M82" s="18"/>
      <c r="N82" s="18"/>
      <c r="O82" s="18"/>
      <c r="P82" s="18"/>
      <c r="Q82" s="18"/>
      <c r="R82" s="18"/>
      <c r="S82" s="18"/>
      <c r="T82" s="18"/>
      <c r="U82" s="18"/>
    </row>
    <row r="83" spans="12:21" ht="13.5" customHeight="1">
      <c r="L83" s="18"/>
      <c r="M83" s="18"/>
      <c r="N83" s="18"/>
      <c r="O83" s="18"/>
      <c r="P83" s="18"/>
      <c r="Q83" s="18"/>
      <c r="R83" s="18"/>
      <c r="S83" s="18"/>
      <c r="T83" s="18"/>
      <c r="U83" s="18"/>
    </row>
    <row r="84" spans="12:21" ht="13.5" customHeight="1">
      <c r="L84" s="18"/>
      <c r="M84" s="18"/>
      <c r="N84" s="18"/>
      <c r="O84" s="18"/>
      <c r="P84" s="18"/>
      <c r="Q84" s="18"/>
      <c r="R84" s="18"/>
      <c r="S84" s="18"/>
      <c r="T84" s="18"/>
      <c r="U84" s="18"/>
    </row>
    <row r="85" spans="12:21" ht="13.5" customHeight="1">
      <c r="L85" s="18"/>
      <c r="M85" s="18"/>
      <c r="N85" s="18"/>
      <c r="O85" s="18"/>
      <c r="P85" s="18"/>
      <c r="Q85" s="18"/>
      <c r="R85" s="18"/>
      <c r="S85" s="18"/>
      <c r="T85" s="18"/>
      <c r="U85" s="18"/>
    </row>
    <row r="86" spans="12:21" ht="13.5" customHeight="1">
      <c r="L86" s="64" t="s">
        <v>80</v>
      </c>
      <c r="M86" s="24" t="s">
        <v>88</v>
      </c>
      <c r="N86" s="18"/>
      <c r="O86" s="18"/>
      <c r="P86" s="18"/>
      <c r="Q86" s="18"/>
      <c r="R86" s="18"/>
      <c r="S86" s="18"/>
      <c r="T86" s="18"/>
      <c r="U86" s="18"/>
    </row>
    <row r="87" spans="12:21" ht="13.5" customHeight="1">
      <c r="L87" s="64" t="s">
        <v>89</v>
      </c>
      <c r="M87" s="82">
        <v>10100</v>
      </c>
      <c r="N87" s="18"/>
      <c r="O87" s="72" t="e">
        <f t="shared" ref="O87:O96" si="15">+M87/$M$97</f>
        <v>#REF!</v>
      </c>
      <c r="P87" s="83" t="e">
        <f>+SUM(O87:O90)</f>
        <v>#REF!</v>
      </c>
      <c r="Q87" s="18"/>
      <c r="R87" s="18"/>
      <c r="S87" s="18"/>
      <c r="T87" s="18"/>
      <c r="U87" s="18"/>
    </row>
    <row r="88" spans="12:21" ht="13.5" customHeight="1">
      <c r="L88" s="64" t="s">
        <v>90</v>
      </c>
      <c r="M88" s="82">
        <v>6108</v>
      </c>
      <c r="N88" s="18"/>
      <c r="O88" s="72" t="e">
        <f t="shared" si="15"/>
        <v>#REF!</v>
      </c>
      <c r="P88" s="18"/>
      <c r="Q88" s="18"/>
      <c r="R88" s="18"/>
      <c r="S88" s="18"/>
      <c r="T88" s="18"/>
      <c r="U88" s="18"/>
    </row>
    <row r="89" spans="12:21" ht="13.5" customHeight="1">
      <c r="L89" s="64" t="s">
        <v>91</v>
      </c>
      <c r="M89" s="82">
        <v>4933.5149077474616</v>
      </c>
      <c r="N89" s="18"/>
      <c r="O89" s="72" t="e">
        <f t="shared" si="15"/>
        <v>#REF!</v>
      </c>
      <c r="P89" s="18"/>
      <c r="Q89" s="18"/>
      <c r="R89" s="18"/>
      <c r="S89" s="18"/>
      <c r="T89" s="84">
        <f>+M89+T108</f>
        <v>5164.1706164719235</v>
      </c>
      <c r="U89" s="18"/>
    </row>
    <row r="90" spans="12:21" ht="13.5" customHeight="1">
      <c r="L90" s="64" t="s">
        <v>83</v>
      </c>
      <c r="M90" s="82" t="e">
        <f>+#REF!</f>
        <v>#REF!</v>
      </c>
      <c r="N90" s="18"/>
      <c r="O90" s="72" t="e">
        <f t="shared" si="15"/>
        <v>#REF!</v>
      </c>
      <c r="P90" s="18"/>
      <c r="Q90" s="18"/>
      <c r="R90" s="18"/>
      <c r="S90" s="18"/>
      <c r="T90" s="18"/>
      <c r="U90" s="18"/>
    </row>
    <row r="91" spans="12:21" ht="13.5" customHeight="1">
      <c r="L91" s="85" t="s">
        <v>86</v>
      </c>
      <c r="M91" s="86" t="e">
        <f>+H37</f>
        <v>#REF!</v>
      </c>
      <c r="N91" s="87"/>
      <c r="O91" s="72" t="e">
        <f t="shared" si="15"/>
        <v>#REF!</v>
      </c>
      <c r="P91" s="18"/>
      <c r="Q91" s="18"/>
      <c r="R91" s="18"/>
      <c r="S91" s="18"/>
      <c r="T91" s="18"/>
      <c r="U91" s="18"/>
    </row>
    <row r="92" spans="12:21" ht="13.5" customHeight="1">
      <c r="L92" s="64" t="s">
        <v>92</v>
      </c>
      <c r="M92" s="82">
        <f>+I16</f>
        <v>0</v>
      </c>
      <c r="N92" s="18"/>
      <c r="O92" s="88" t="e">
        <f t="shared" si="15"/>
        <v>#REF!</v>
      </c>
      <c r="P92" s="18"/>
      <c r="Q92" s="18"/>
      <c r="R92" s="18"/>
      <c r="S92" s="18"/>
      <c r="T92" s="18"/>
      <c r="U92" s="18"/>
    </row>
    <row r="93" spans="12:21" ht="13.5" customHeight="1">
      <c r="L93" s="64" t="s">
        <v>84</v>
      </c>
      <c r="M93" s="89">
        <v>3760.7435562052824</v>
      </c>
      <c r="N93" s="18"/>
      <c r="O93" s="88" t="e">
        <f t="shared" si="15"/>
        <v>#REF!</v>
      </c>
      <c r="P93" s="18"/>
      <c r="Q93" s="18"/>
      <c r="R93" s="18"/>
      <c r="S93" s="18"/>
      <c r="T93" s="18"/>
      <c r="U93" s="18"/>
    </row>
    <row r="94" spans="12:21" ht="13.5" customHeight="1">
      <c r="L94" s="64" t="s">
        <v>93</v>
      </c>
      <c r="M94" s="82">
        <f>+M105+T97</f>
        <v>1972.9830394748069</v>
      </c>
      <c r="N94" s="18"/>
      <c r="O94" s="72" t="e">
        <f t="shared" si="15"/>
        <v>#REF!</v>
      </c>
      <c r="P94" s="18"/>
      <c r="Q94" s="18"/>
      <c r="R94" s="18"/>
      <c r="S94" s="18"/>
      <c r="T94" s="19">
        <f>+M95+T107</f>
        <v>2197.1646988655266</v>
      </c>
      <c r="U94" s="18"/>
    </row>
    <row r="95" spans="12:21" ht="13.5" customHeight="1">
      <c r="L95" s="64" t="s">
        <v>94</v>
      </c>
      <c r="M95" s="82">
        <v>1894.1646988655268</v>
      </c>
      <c r="N95" s="18"/>
      <c r="O95" s="72" t="e">
        <f t="shared" si="15"/>
        <v>#REF!</v>
      </c>
      <c r="P95" s="18"/>
      <c r="Q95" s="18"/>
      <c r="R95" s="18"/>
      <c r="S95" s="18"/>
      <c r="T95" s="18"/>
      <c r="U95" s="18"/>
    </row>
    <row r="96" spans="12:21" ht="13.5" customHeight="1">
      <c r="L96" s="64" t="s">
        <v>95</v>
      </c>
      <c r="M96" s="82">
        <v>1730.5681418310678</v>
      </c>
      <c r="N96" s="18"/>
      <c r="O96" s="72" t="e">
        <f t="shared" si="15"/>
        <v>#REF!</v>
      </c>
      <c r="P96" s="18"/>
      <c r="Q96" s="18"/>
      <c r="R96" s="18" t="s">
        <v>84</v>
      </c>
      <c r="S96" s="18"/>
      <c r="T96" s="84">
        <v>3760.7435562052824</v>
      </c>
      <c r="U96" s="18"/>
    </row>
    <row r="97" spans="12:21" ht="13.5" customHeight="1">
      <c r="L97" s="78" t="s">
        <v>87</v>
      </c>
      <c r="M97" s="90" t="e">
        <f>+SUM(M87:M96)</f>
        <v>#REF!</v>
      </c>
      <c r="N97" s="18"/>
      <c r="O97" s="18"/>
      <c r="P97" s="18"/>
      <c r="Q97" s="18"/>
      <c r="R97" s="18" t="s">
        <v>96</v>
      </c>
      <c r="S97" s="18"/>
      <c r="T97" s="84">
        <v>1534.3592416758499</v>
      </c>
      <c r="U97" s="18"/>
    </row>
    <row r="98" spans="12:21" ht="13.5" customHeight="1">
      <c r="L98" s="18"/>
      <c r="M98" s="18"/>
      <c r="N98" s="18"/>
      <c r="O98" s="18"/>
      <c r="P98" s="18"/>
      <c r="Q98" s="18"/>
      <c r="R98" s="18" t="s">
        <v>97</v>
      </c>
      <c r="S98" s="18"/>
      <c r="T98" s="84">
        <v>28</v>
      </c>
      <c r="U98" s="18"/>
    </row>
    <row r="99" spans="12:21" ht="13.5" customHeight="1">
      <c r="L99" s="18"/>
      <c r="M99" s="18"/>
      <c r="N99" s="18"/>
      <c r="O99" s="18"/>
      <c r="P99" s="18"/>
      <c r="Q99" s="18"/>
      <c r="R99" s="18" t="s">
        <v>98</v>
      </c>
      <c r="S99" s="18"/>
      <c r="T99" s="84">
        <v>533.65570872446199</v>
      </c>
      <c r="U99" s="18"/>
    </row>
    <row r="100" spans="12:21" ht="13.5" customHeight="1">
      <c r="L100" s="18"/>
      <c r="M100" s="18"/>
      <c r="N100" s="72" t="e">
        <f>+SUM(O92,O95:O96)</f>
        <v>#REF!</v>
      </c>
      <c r="O100" s="18"/>
      <c r="P100" s="18"/>
      <c r="Q100" s="18"/>
      <c r="R100" s="18" t="s">
        <v>99</v>
      </c>
      <c r="S100" s="18"/>
      <c r="T100" s="84">
        <v>4</v>
      </c>
      <c r="U100" s="18"/>
    </row>
    <row r="101" spans="12:21" ht="13.5" customHeight="1">
      <c r="L101" s="18"/>
      <c r="M101" s="18"/>
      <c r="N101" s="18"/>
      <c r="O101" s="18"/>
      <c r="P101" s="18"/>
      <c r="Q101" s="18"/>
      <c r="R101" s="18" t="s">
        <v>100</v>
      </c>
      <c r="S101" s="18"/>
      <c r="T101" s="84">
        <v>544.40703802583778</v>
      </c>
      <c r="U101" s="84">
        <f>+SUM(T96:T101)</f>
        <v>6405.1655446314326</v>
      </c>
    </row>
    <row r="102" spans="12:21" ht="13.5" customHeight="1">
      <c r="L102" s="18"/>
      <c r="M102" s="84">
        <f>+M96-T97</f>
        <v>196.20890015521786</v>
      </c>
      <c r="N102" s="18"/>
      <c r="O102" s="18"/>
      <c r="P102" s="18"/>
      <c r="Q102" s="18"/>
      <c r="R102" s="18" t="s">
        <v>101</v>
      </c>
      <c r="S102" s="18"/>
      <c r="T102" s="18">
        <v>108</v>
      </c>
      <c r="U102" s="18">
        <v>6512</v>
      </c>
    </row>
    <row r="103" spans="12:21" ht="13.5" customHeight="1">
      <c r="L103" s="19">
        <f>+M96+M109</f>
        <v>1730.5681418310678</v>
      </c>
      <c r="M103" s="18"/>
      <c r="N103" s="18"/>
      <c r="O103" s="18"/>
      <c r="P103" s="18"/>
      <c r="Q103" s="18"/>
      <c r="R103" s="18"/>
      <c r="S103" s="18"/>
      <c r="T103" s="18"/>
      <c r="U103" s="84">
        <f>+U102-U101</f>
        <v>106.83445536856743</v>
      </c>
    </row>
    <row r="104" spans="12:21" ht="13.5" customHeight="1">
      <c r="L104" s="18"/>
      <c r="M104" s="18"/>
      <c r="N104" s="18"/>
      <c r="O104" s="18"/>
      <c r="P104" s="18"/>
      <c r="Q104" s="18"/>
      <c r="R104" s="18"/>
      <c r="S104" s="18"/>
      <c r="T104" s="84">
        <f>+M96-T99</f>
        <v>1196.9124331066059</v>
      </c>
      <c r="U104" s="18"/>
    </row>
    <row r="105" spans="12:21" ht="13.5" customHeight="1">
      <c r="L105" s="18"/>
      <c r="M105" s="18">
        <v>438.62379779895701</v>
      </c>
      <c r="N105" s="18"/>
      <c r="O105" s="18"/>
      <c r="P105" s="18"/>
      <c r="Q105" s="18"/>
      <c r="R105" s="18"/>
      <c r="S105" s="18"/>
      <c r="T105" s="18"/>
      <c r="U105" s="18"/>
    </row>
    <row r="106" spans="12:21" ht="13.5" customHeight="1">
      <c r="L106" s="18"/>
      <c r="M106" s="18"/>
      <c r="N106" s="18"/>
      <c r="O106" s="18"/>
      <c r="P106" s="18"/>
      <c r="Q106" s="18"/>
      <c r="R106" s="18"/>
      <c r="S106" s="18"/>
      <c r="T106" s="18"/>
      <c r="U106" s="18"/>
    </row>
    <row r="107" spans="12:21" ht="13.5" customHeight="1">
      <c r="L107" s="18"/>
      <c r="M107" s="18"/>
      <c r="N107" s="18"/>
      <c r="O107" s="18"/>
      <c r="P107" s="18"/>
      <c r="Q107" s="18"/>
      <c r="R107" s="18"/>
      <c r="S107" s="18" t="s">
        <v>102</v>
      </c>
      <c r="T107" s="18">
        <v>303</v>
      </c>
      <c r="U107" s="18"/>
    </row>
    <row r="108" spans="12:21" ht="13.5" customHeight="1">
      <c r="L108" s="18"/>
      <c r="M108" s="18"/>
      <c r="N108" s="18"/>
      <c r="O108" s="18"/>
      <c r="P108" s="18"/>
      <c r="Q108" s="18"/>
      <c r="R108" s="18"/>
      <c r="S108" s="18" t="s">
        <v>103</v>
      </c>
      <c r="T108" s="84">
        <f>+T99-T107</f>
        <v>230.65570872446199</v>
      </c>
      <c r="U108" s="18"/>
    </row>
    <row r="109" spans="12:21" ht="13.5" customHeight="1">
      <c r="L109" s="64" t="s">
        <v>104</v>
      </c>
      <c r="M109" s="82">
        <f>+I12</f>
        <v>0</v>
      </c>
      <c r="N109" s="18"/>
      <c r="O109" s="18"/>
      <c r="P109" s="18"/>
      <c r="Q109" s="18"/>
      <c r="R109" s="18"/>
      <c r="S109" s="18"/>
      <c r="T109" s="18"/>
      <c r="U109" s="18"/>
    </row>
  </sheetData>
  <mergeCells count="1">
    <mergeCell ref="G7:G9"/>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985"/>
  <sheetViews>
    <sheetView workbookViewId="0">
      <pane ySplit="2" topLeftCell="A3" activePane="bottomLeft" state="frozen"/>
      <selection pane="bottomLeft" activeCell="B4" sqref="B4"/>
    </sheetView>
  </sheetViews>
  <sheetFormatPr baseColWidth="10" defaultColWidth="12.6640625" defaultRowHeight="15" customHeight="1"/>
  <cols>
    <col min="1" max="1" width="36.6640625" hidden="1" customWidth="1"/>
    <col min="2" max="2" width="7.21875" customWidth="1"/>
    <col min="3" max="3" width="37.44140625" customWidth="1"/>
    <col min="4" max="4" width="18.44140625" customWidth="1"/>
    <col min="5" max="5" width="12.44140625" customWidth="1"/>
    <col min="6" max="7" width="10.44140625" customWidth="1"/>
    <col min="8" max="8" width="19.109375" customWidth="1"/>
    <col min="9" max="9" width="15.109375" customWidth="1"/>
    <col min="10" max="10" width="12.88671875" customWidth="1"/>
    <col min="11" max="11" width="12.6640625" hidden="1"/>
    <col min="12" max="12" width="18.109375" customWidth="1"/>
    <col min="13" max="13" width="16.33203125" customWidth="1"/>
    <col min="14" max="14" width="18.88671875" hidden="1" customWidth="1"/>
    <col min="15" max="15" width="14.6640625" hidden="1" customWidth="1"/>
  </cols>
  <sheetData>
    <row r="1" spans="1:15">
      <c r="A1" s="1389" t="s">
        <v>105</v>
      </c>
      <c r="B1" s="1391" t="s">
        <v>106</v>
      </c>
      <c r="C1" s="1392"/>
      <c r="D1" s="1392"/>
      <c r="E1" s="1392"/>
      <c r="F1" s="1392"/>
      <c r="G1" s="1393"/>
      <c r="H1" s="1394" t="s">
        <v>107</v>
      </c>
      <c r="I1" s="1392"/>
      <c r="J1" s="1392"/>
      <c r="K1" s="1393"/>
      <c r="L1" s="1395" t="s">
        <v>108</v>
      </c>
      <c r="M1" s="1396"/>
      <c r="N1" s="1396"/>
      <c r="O1" s="1396"/>
    </row>
    <row r="2" spans="1:15">
      <c r="A2" s="1390"/>
      <c r="B2" s="92" t="s">
        <v>45</v>
      </c>
      <c r="C2" s="93" t="s">
        <v>109</v>
      </c>
      <c r="D2" s="93" t="s">
        <v>110</v>
      </c>
      <c r="E2" s="94" t="s">
        <v>111</v>
      </c>
      <c r="F2" s="1397" t="s">
        <v>112</v>
      </c>
      <c r="G2" s="1393"/>
      <c r="H2" s="95" t="s">
        <v>113</v>
      </c>
      <c r="I2" s="95" t="s">
        <v>114</v>
      </c>
      <c r="J2" s="95" t="s">
        <v>115</v>
      </c>
      <c r="K2" s="95" t="s">
        <v>116</v>
      </c>
      <c r="L2" s="91" t="s">
        <v>117</v>
      </c>
      <c r="M2" s="91" t="s">
        <v>118</v>
      </c>
      <c r="N2" s="96" t="s">
        <v>119</v>
      </c>
      <c r="O2" s="96" t="s">
        <v>120</v>
      </c>
    </row>
    <row r="3" spans="1:15">
      <c r="A3" s="97" t="str">
        <f t="shared" ref="A3:A27" si="0">C3</f>
        <v>Fuentes móviles (Transporte propio troncal)</v>
      </c>
      <c r="B3" s="98">
        <v>1</v>
      </c>
      <c r="C3" s="99" t="s">
        <v>121</v>
      </c>
      <c r="D3" s="100" t="s">
        <v>122</v>
      </c>
      <c r="E3" s="101" t="s">
        <v>123</v>
      </c>
      <c r="F3" s="1398" t="s">
        <v>124</v>
      </c>
      <c r="G3" s="1393"/>
      <c r="H3" s="102" t="s">
        <v>125</v>
      </c>
      <c r="I3" s="103" t="s">
        <v>126</v>
      </c>
      <c r="J3" s="103" t="s">
        <v>127</v>
      </c>
      <c r="K3" s="103"/>
      <c r="L3" s="102" t="s">
        <v>128</v>
      </c>
      <c r="M3" s="102" t="s">
        <v>129</v>
      </c>
      <c r="N3" s="104" t="s">
        <v>130</v>
      </c>
      <c r="O3" s="105"/>
    </row>
    <row r="4" spans="1:15">
      <c r="A4" s="106" t="str">
        <f t="shared" si="0"/>
        <v>Fuentes Fijas</v>
      </c>
      <c r="B4" s="98">
        <v>1</v>
      </c>
      <c r="C4" s="99" t="s">
        <v>131</v>
      </c>
      <c r="D4" s="100" t="s">
        <v>132</v>
      </c>
      <c r="E4" s="101" t="s">
        <v>123</v>
      </c>
      <c r="F4" s="1398" t="s">
        <v>124</v>
      </c>
      <c r="G4" s="1393"/>
      <c r="H4" s="102" t="s">
        <v>125</v>
      </c>
      <c r="I4" s="103" t="s">
        <v>126</v>
      </c>
      <c r="J4" s="103" t="s">
        <v>127</v>
      </c>
      <c r="K4" s="103"/>
      <c r="L4" s="102" t="s">
        <v>133</v>
      </c>
      <c r="M4" s="102" t="s">
        <v>134</v>
      </c>
      <c r="N4" s="107" t="s">
        <v>135</v>
      </c>
      <c r="O4" s="105"/>
    </row>
    <row r="5" spans="1:15">
      <c r="A5" s="106" t="str">
        <f t="shared" si="0"/>
        <v xml:space="preserve"> Emisiones Fugitivas</v>
      </c>
      <c r="B5" s="98">
        <v>1</v>
      </c>
      <c r="C5" s="99" t="s">
        <v>136</v>
      </c>
      <c r="D5" s="100" t="s">
        <v>137</v>
      </c>
      <c r="E5" s="101" t="s">
        <v>123</v>
      </c>
      <c r="F5" s="1398" t="s">
        <v>124</v>
      </c>
      <c r="G5" s="1393"/>
      <c r="H5" s="102" t="s">
        <v>138</v>
      </c>
      <c r="I5" s="103" t="s">
        <v>139</v>
      </c>
      <c r="J5" s="103" t="s">
        <v>127</v>
      </c>
      <c r="K5" s="103"/>
      <c r="L5" s="102" t="s">
        <v>133</v>
      </c>
      <c r="M5" s="102" t="s">
        <v>134</v>
      </c>
      <c r="N5" s="107" t="s">
        <v>135</v>
      </c>
      <c r="O5" s="105"/>
    </row>
    <row r="6" spans="1:15">
      <c r="A6" s="106" t="str">
        <f t="shared" si="0"/>
        <v>Compra de electricidad</v>
      </c>
      <c r="B6" s="98">
        <v>2</v>
      </c>
      <c r="C6" s="99" t="s">
        <v>25</v>
      </c>
      <c r="D6" s="100" t="s">
        <v>140</v>
      </c>
      <c r="E6" s="101" t="s">
        <v>123</v>
      </c>
      <c r="F6" s="1398" t="s">
        <v>124</v>
      </c>
      <c r="G6" s="1393"/>
      <c r="H6" s="102" t="s">
        <v>141</v>
      </c>
      <c r="I6" s="103" t="s">
        <v>142</v>
      </c>
      <c r="J6" s="103" t="s">
        <v>127</v>
      </c>
      <c r="K6" s="103"/>
      <c r="L6" s="102" t="s">
        <v>143</v>
      </c>
      <c r="M6" s="102" t="s">
        <v>144</v>
      </c>
      <c r="N6" s="107" t="s">
        <v>145</v>
      </c>
      <c r="O6" s="105"/>
    </row>
    <row r="7" spans="1:15">
      <c r="A7" s="106" t="str">
        <f t="shared" si="0"/>
        <v>Cat.1 Distribución</v>
      </c>
      <c r="B7" s="98">
        <v>3</v>
      </c>
      <c r="C7" s="99" t="s">
        <v>146</v>
      </c>
      <c r="D7" s="1399" t="s">
        <v>147</v>
      </c>
      <c r="E7" s="101" t="s">
        <v>123</v>
      </c>
      <c r="F7" s="1398" t="s">
        <v>124</v>
      </c>
      <c r="G7" s="1393"/>
      <c r="H7" s="102" t="s">
        <v>125</v>
      </c>
      <c r="I7" s="103" t="s">
        <v>126</v>
      </c>
      <c r="J7" s="103" t="s">
        <v>127</v>
      </c>
      <c r="K7" s="103"/>
      <c r="L7" s="102" t="s">
        <v>128</v>
      </c>
      <c r="M7" s="102" t="s">
        <v>129</v>
      </c>
      <c r="N7" s="107" t="s">
        <v>148</v>
      </c>
      <c r="O7" s="105"/>
    </row>
    <row r="8" spans="1:15">
      <c r="A8" s="106" t="str">
        <f t="shared" si="0"/>
        <v>Cat.1 Transporte Troncal - solo externo</v>
      </c>
      <c r="B8" s="98">
        <v>3</v>
      </c>
      <c r="C8" s="99" t="s">
        <v>149</v>
      </c>
      <c r="D8" s="1387"/>
      <c r="E8" s="101" t="s">
        <v>123</v>
      </c>
      <c r="F8" s="1398" t="s">
        <v>124</v>
      </c>
      <c r="G8" s="1393"/>
      <c r="H8" s="102" t="s">
        <v>125</v>
      </c>
      <c r="I8" s="103" t="s">
        <v>126</v>
      </c>
      <c r="J8" s="103" t="s">
        <v>127</v>
      </c>
      <c r="K8" s="103"/>
      <c r="L8" s="102" t="s">
        <v>128</v>
      </c>
      <c r="M8" s="102" t="s">
        <v>129</v>
      </c>
      <c r="N8" s="107" t="s">
        <v>150</v>
      </c>
      <c r="O8" s="105"/>
    </row>
    <row r="9" spans="1:15">
      <c r="A9" s="106" t="str">
        <f t="shared" si="0"/>
        <v>Cat.1 Transporte Aéreo</v>
      </c>
      <c r="B9" s="98">
        <v>3</v>
      </c>
      <c r="C9" s="99" t="s">
        <v>151</v>
      </c>
      <c r="D9" s="1387"/>
      <c r="E9" s="101" t="s">
        <v>123</v>
      </c>
      <c r="F9" s="1398" t="s">
        <v>124</v>
      </c>
      <c r="G9" s="1393"/>
      <c r="H9" s="102" t="s">
        <v>152</v>
      </c>
      <c r="I9" s="103" t="s">
        <v>153</v>
      </c>
      <c r="J9" s="103" t="s">
        <v>127</v>
      </c>
      <c r="K9" s="103"/>
      <c r="L9" s="102" t="s">
        <v>128</v>
      </c>
      <c r="M9" s="102" t="s">
        <v>129</v>
      </c>
      <c r="N9" s="107" t="s">
        <v>154</v>
      </c>
      <c r="O9" s="105"/>
    </row>
    <row r="10" spans="1:15">
      <c r="A10" s="106" t="str">
        <f t="shared" si="0"/>
        <v>Cat.1 Bienes y servicios - Compra de servicios</v>
      </c>
      <c r="B10" s="98">
        <v>3</v>
      </c>
      <c r="C10" s="99" t="s">
        <v>155</v>
      </c>
      <c r="D10" s="1387"/>
      <c r="E10" s="101" t="s">
        <v>123</v>
      </c>
      <c r="F10" s="1398" t="s">
        <v>124</v>
      </c>
      <c r="G10" s="1393"/>
      <c r="H10" s="102" t="s">
        <v>156</v>
      </c>
      <c r="I10" s="103" t="s">
        <v>157</v>
      </c>
      <c r="J10" s="103" t="s">
        <v>123</v>
      </c>
      <c r="K10" s="103"/>
      <c r="L10" s="102" t="s">
        <v>158</v>
      </c>
      <c r="M10" s="102" t="s">
        <v>159</v>
      </c>
      <c r="N10" s="107" t="s">
        <v>160</v>
      </c>
      <c r="O10" s="105"/>
    </row>
    <row r="11" spans="1:15">
      <c r="A11" s="106" t="str">
        <f t="shared" si="0"/>
        <v>Cat.1 Bienes y servicios - Insumos Operacionales</v>
      </c>
      <c r="B11" s="98">
        <v>3</v>
      </c>
      <c r="C11" s="99" t="s">
        <v>161</v>
      </c>
      <c r="D11" s="1387"/>
      <c r="E11" s="101" t="s">
        <v>123</v>
      </c>
      <c r="F11" s="1398" t="s">
        <v>124</v>
      </c>
      <c r="G11" s="1393"/>
      <c r="H11" s="102" t="s">
        <v>162</v>
      </c>
      <c r="I11" s="103" t="s">
        <v>139</v>
      </c>
      <c r="J11" s="103" t="s">
        <v>123</v>
      </c>
      <c r="K11" s="103"/>
      <c r="L11" s="102" t="s">
        <v>163</v>
      </c>
      <c r="M11" s="102" t="s">
        <v>164</v>
      </c>
      <c r="N11" s="107" t="s">
        <v>165</v>
      </c>
      <c r="O11" s="105"/>
    </row>
    <row r="12" spans="1:15">
      <c r="A12" s="106" t="str">
        <f t="shared" si="0"/>
        <v>Cat.1 Bienes y servicios - Compra de empaques</v>
      </c>
      <c r="B12" s="98">
        <v>3</v>
      </c>
      <c r="C12" s="99" t="s">
        <v>166</v>
      </c>
      <c r="D12" s="1388"/>
      <c r="E12" s="101" t="s">
        <v>123</v>
      </c>
      <c r="F12" s="1398" t="s">
        <v>124</v>
      </c>
      <c r="G12" s="1393"/>
      <c r="H12" s="102" t="s">
        <v>162</v>
      </c>
      <c r="I12" s="103" t="s">
        <v>157</v>
      </c>
      <c r="J12" s="103" t="s">
        <v>123</v>
      </c>
      <c r="K12" s="103"/>
      <c r="L12" s="102" t="s">
        <v>163</v>
      </c>
      <c r="M12" s="102" t="s">
        <v>164</v>
      </c>
      <c r="N12" s="107" t="s">
        <v>167</v>
      </c>
      <c r="O12" s="105"/>
    </row>
    <row r="13" spans="1:15">
      <c r="A13" s="106" t="str">
        <f t="shared" si="0"/>
        <v>Cat.2 Compra de bienes de capital</v>
      </c>
      <c r="B13" s="98">
        <v>3</v>
      </c>
      <c r="C13" s="99" t="s">
        <v>168</v>
      </c>
      <c r="D13" s="100" t="s">
        <v>169</v>
      </c>
      <c r="E13" s="101" t="s">
        <v>123</v>
      </c>
      <c r="F13" s="1398" t="s">
        <v>124</v>
      </c>
      <c r="G13" s="1393"/>
      <c r="H13" s="102" t="s">
        <v>156</v>
      </c>
      <c r="I13" s="103" t="s">
        <v>157</v>
      </c>
      <c r="J13" s="103" t="s">
        <v>123</v>
      </c>
      <c r="K13" s="103"/>
      <c r="L13" s="102" t="s">
        <v>170</v>
      </c>
      <c r="M13" s="102" t="s">
        <v>171</v>
      </c>
      <c r="N13" s="107" t="s">
        <v>172</v>
      </c>
      <c r="O13" s="105"/>
    </row>
    <row r="14" spans="1:15">
      <c r="A14" s="106" t="str">
        <f t="shared" si="0"/>
        <v>Cat.3 Otras emisiones de energía</v>
      </c>
      <c r="B14" s="98">
        <v>3</v>
      </c>
      <c r="C14" s="99" t="s">
        <v>173</v>
      </c>
      <c r="D14" s="1400" t="s">
        <v>174</v>
      </c>
      <c r="E14" s="101" t="s">
        <v>123</v>
      </c>
      <c r="F14" s="1398" t="s">
        <v>124</v>
      </c>
      <c r="G14" s="1393"/>
      <c r="H14" s="102" t="s">
        <v>175</v>
      </c>
      <c r="I14" s="103" t="s">
        <v>142</v>
      </c>
      <c r="J14" s="103" t="s">
        <v>127</v>
      </c>
      <c r="K14" s="103"/>
      <c r="L14" s="102" t="s">
        <v>143</v>
      </c>
      <c r="M14" s="102" t="s">
        <v>144</v>
      </c>
      <c r="N14" s="107" t="s">
        <v>145</v>
      </c>
      <c r="O14" s="105"/>
    </row>
    <row r="15" spans="1:15">
      <c r="A15" s="106" t="str">
        <f t="shared" si="0"/>
        <v>Cat.3 Otras emisiones de combustible</v>
      </c>
      <c r="B15" s="98">
        <v>3</v>
      </c>
      <c r="C15" s="99" t="s">
        <v>176</v>
      </c>
      <c r="D15" s="1388"/>
      <c r="E15" s="101" t="s">
        <v>123</v>
      </c>
      <c r="F15" s="1398" t="s">
        <v>124</v>
      </c>
      <c r="G15" s="1393"/>
      <c r="H15" s="102" t="s">
        <v>138</v>
      </c>
      <c r="I15" s="103" t="s">
        <v>126</v>
      </c>
      <c r="J15" s="103" t="s">
        <v>127</v>
      </c>
      <c r="K15" s="103"/>
      <c r="L15" s="102" t="s">
        <v>128</v>
      </c>
      <c r="M15" s="102" t="s">
        <v>129</v>
      </c>
      <c r="N15" s="107" t="s">
        <v>177</v>
      </c>
      <c r="O15" s="105"/>
    </row>
    <row r="16" spans="1:15">
      <c r="A16" s="106" t="str">
        <f t="shared" si="0"/>
        <v xml:space="preserve">Cat 4: Transporte aguas arriba </v>
      </c>
      <c r="B16" s="108">
        <v>3</v>
      </c>
      <c r="C16" s="99" t="s">
        <v>178</v>
      </c>
      <c r="D16" s="100" t="s">
        <v>179</v>
      </c>
      <c r="E16" s="101" t="s">
        <v>127</v>
      </c>
      <c r="F16" s="1398" t="s">
        <v>180</v>
      </c>
      <c r="G16" s="1393"/>
      <c r="H16" s="109" t="s">
        <v>181</v>
      </c>
      <c r="I16" s="108" t="s">
        <v>181</v>
      </c>
      <c r="J16" s="108" t="s">
        <v>181</v>
      </c>
      <c r="K16" s="108"/>
      <c r="L16" s="102" t="s">
        <v>182</v>
      </c>
      <c r="M16" s="102" t="s">
        <v>182</v>
      </c>
      <c r="N16" s="110" t="s">
        <v>183</v>
      </c>
      <c r="O16" s="111"/>
    </row>
    <row r="17" spans="1:15">
      <c r="A17" s="106" t="str">
        <f t="shared" si="0"/>
        <v>Cat 5: Residuos generados en las operaciones</v>
      </c>
      <c r="B17" s="98">
        <v>3</v>
      </c>
      <c r="C17" s="99" t="s">
        <v>30</v>
      </c>
      <c r="D17" s="100" t="s">
        <v>184</v>
      </c>
      <c r="E17" s="101" t="s">
        <v>123</v>
      </c>
      <c r="F17" s="1398" t="s">
        <v>124</v>
      </c>
      <c r="G17" s="1393"/>
      <c r="H17" s="109" t="s">
        <v>185</v>
      </c>
      <c r="I17" s="108" t="s">
        <v>186</v>
      </c>
      <c r="J17" s="108" t="s">
        <v>123</v>
      </c>
      <c r="K17" s="108"/>
      <c r="L17" s="102" t="s">
        <v>187</v>
      </c>
      <c r="M17" s="102" t="s">
        <v>188</v>
      </c>
      <c r="N17" s="107" t="s">
        <v>189</v>
      </c>
      <c r="O17" s="111"/>
    </row>
    <row r="18" spans="1:15">
      <c r="A18" s="106" t="str">
        <f t="shared" si="0"/>
        <v>Cat 6: Viajes de negocio</v>
      </c>
      <c r="B18" s="98">
        <v>3</v>
      </c>
      <c r="C18" s="99" t="s">
        <v>34</v>
      </c>
      <c r="D18" s="100" t="s">
        <v>190</v>
      </c>
      <c r="E18" s="101" t="s">
        <v>123</v>
      </c>
      <c r="F18" s="1398" t="s">
        <v>124</v>
      </c>
      <c r="G18" s="1393"/>
      <c r="H18" s="102" t="s">
        <v>156</v>
      </c>
      <c r="I18" s="103" t="s">
        <v>191</v>
      </c>
      <c r="J18" s="103" t="s">
        <v>123</v>
      </c>
      <c r="K18" s="103"/>
      <c r="L18" s="102" t="s">
        <v>192</v>
      </c>
      <c r="M18" s="102" t="s">
        <v>164</v>
      </c>
      <c r="N18" s="107" t="s">
        <v>193</v>
      </c>
      <c r="O18" s="105"/>
    </row>
    <row r="19" spans="1:15">
      <c r="A19" s="106" t="str">
        <f t="shared" si="0"/>
        <v>Cat 7: Traslado de trabajadores</v>
      </c>
      <c r="B19" s="98">
        <v>3</v>
      </c>
      <c r="C19" s="99" t="s">
        <v>18</v>
      </c>
      <c r="D19" s="100" t="s">
        <v>194</v>
      </c>
      <c r="E19" s="101" t="s">
        <v>123</v>
      </c>
      <c r="F19" s="1398" t="s">
        <v>124</v>
      </c>
      <c r="G19" s="1393"/>
      <c r="H19" s="102" t="s">
        <v>162</v>
      </c>
      <c r="I19" s="103" t="s">
        <v>195</v>
      </c>
      <c r="J19" s="103" t="s">
        <v>123</v>
      </c>
      <c r="K19" s="103"/>
      <c r="L19" s="102" t="s">
        <v>196</v>
      </c>
      <c r="M19" s="102" t="s">
        <v>197</v>
      </c>
      <c r="N19" s="107" t="s">
        <v>198</v>
      </c>
      <c r="O19" s="105"/>
    </row>
    <row r="20" spans="1:15">
      <c r="A20" s="106" t="str">
        <f t="shared" si="0"/>
        <v>Cat 8: Bienes arrendados aguas arriba</v>
      </c>
      <c r="B20" s="108">
        <v>3</v>
      </c>
      <c r="C20" s="99" t="s">
        <v>199</v>
      </c>
      <c r="D20" s="100" t="s">
        <v>200</v>
      </c>
      <c r="E20" s="101" t="s">
        <v>127</v>
      </c>
      <c r="F20" s="1398" t="s">
        <v>201</v>
      </c>
      <c r="G20" s="1393"/>
      <c r="H20" s="109" t="s">
        <v>181</v>
      </c>
      <c r="I20" s="108" t="s">
        <v>181</v>
      </c>
      <c r="J20" s="108" t="s">
        <v>181</v>
      </c>
      <c r="K20" s="108"/>
      <c r="L20" s="102" t="s">
        <v>182</v>
      </c>
      <c r="M20" s="102" t="s">
        <v>182</v>
      </c>
      <c r="N20" s="110" t="s">
        <v>183</v>
      </c>
      <c r="O20" s="111"/>
    </row>
    <row r="21" spans="1:15">
      <c r="A21" s="106" t="str">
        <f t="shared" si="0"/>
        <v>Cat 9: Transporte aguas abajo</v>
      </c>
      <c r="B21" s="98">
        <v>3</v>
      </c>
      <c r="C21" s="99" t="s">
        <v>202</v>
      </c>
      <c r="D21" s="100" t="s">
        <v>203</v>
      </c>
      <c r="E21" s="101" t="s">
        <v>127</v>
      </c>
      <c r="F21" s="1398" t="s">
        <v>204</v>
      </c>
      <c r="G21" s="1393"/>
      <c r="H21" s="109" t="s">
        <v>181</v>
      </c>
      <c r="I21" s="108" t="s">
        <v>181</v>
      </c>
      <c r="J21" s="108" t="s">
        <v>181</v>
      </c>
      <c r="K21" s="108"/>
      <c r="L21" s="102" t="s">
        <v>182</v>
      </c>
      <c r="M21" s="102" t="s">
        <v>182</v>
      </c>
      <c r="N21" s="110" t="s">
        <v>183</v>
      </c>
      <c r="O21" s="111"/>
    </row>
    <row r="22" spans="1:15">
      <c r="A22" s="106" t="str">
        <f t="shared" si="0"/>
        <v>Cat 10: Procesamiento productos vendidos:</v>
      </c>
      <c r="B22" s="98">
        <v>3</v>
      </c>
      <c r="C22" s="99" t="s">
        <v>205</v>
      </c>
      <c r="D22" s="100" t="s">
        <v>206</v>
      </c>
      <c r="E22" s="101" t="s">
        <v>127</v>
      </c>
      <c r="F22" s="1398" t="s">
        <v>207</v>
      </c>
      <c r="G22" s="1393"/>
      <c r="H22" s="109" t="s">
        <v>181</v>
      </c>
      <c r="I22" s="108" t="s">
        <v>181</v>
      </c>
      <c r="J22" s="108" t="s">
        <v>181</v>
      </c>
      <c r="K22" s="108"/>
      <c r="L22" s="102" t="s">
        <v>182</v>
      </c>
      <c r="M22" s="102" t="s">
        <v>182</v>
      </c>
      <c r="N22" s="110" t="s">
        <v>183</v>
      </c>
      <c r="O22" s="111"/>
    </row>
    <row r="23" spans="1:15">
      <c r="A23" s="106" t="str">
        <f t="shared" si="0"/>
        <v>Cat 11: Uso de productos vendidos:</v>
      </c>
      <c r="B23" s="98">
        <v>3</v>
      </c>
      <c r="C23" s="99" t="s">
        <v>208</v>
      </c>
      <c r="D23" s="100" t="s">
        <v>209</v>
      </c>
      <c r="E23" s="101" t="s">
        <v>127</v>
      </c>
      <c r="F23" s="1398" t="s">
        <v>207</v>
      </c>
      <c r="G23" s="1393"/>
      <c r="H23" s="109" t="s">
        <v>181</v>
      </c>
      <c r="I23" s="108" t="s">
        <v>181</v>
      </c>
      <c r="J23" s="108" t="s">
        <v>181</v>
      </c>
      <c r="K23" s="108"/>
      <c r="L23" s="102" t="s">
        <v>182</v>
      </c>
      <c r="M23" s="102" t="s">
        <v>182</v>
      </c>
      <c r="N23" s="110" t="s">
        <v>183</v>
      </c>
      <c r="O23" s="111"/>
    </row>
    <row r="24" spans="1:15">
      <c r="A24" s="106" t="str">
        <f t="shared" si="0"/>
        <v>Cat 12: Fin de vida empaques</v>
      </c>
      <c r="B24" s="98">
        <v>3</v>
      </c>
      <c r="C24" s="99" t="s">
        <v>210</v>
      </c>
      <c r="D24" s="100" t="s">
        <v>211</v>
      </c>
      <c r="E24" s="101" t="s">
        <v>123</v>
      </c>
      <c r="F24" s="1398" t="s">
        <v>124</v>
      </c>
      <c r="G24" s="1393"/>
      <c r="H24" s="102" t="s">
        <v>162</v>
      </c>
      <c r="I24" s="103" t="s">
        <v>139</v>
      </c>
      <c r="J24" s="103" t="s">
        <v>123</v>
      </c>
      <c r="K24" s="103"/>
      <c r="L24" s="102" t="s">
        <v>163</v>
      </c>
      <c r="M24" s="102" t="s">
        <v>164</v>
      </c>
      <c r="N24" s="107" t="s">
        <v>167</v>
      </c>
      <c r="O24" s="105"/>
    </row>
    <row r="25" spans="1:15">
      <c r="A25" s="106" t="str">
        <f t="shared" si="0"/>
        <v>Cat 13: Activos arrendados aguas abajo</v>
      </c>
      <c r="B25" s="108">
        <v>3</v>
      </c>
      <c r="C25" s="99" t="s">
        <v>212</v>
      </c>
      <c r="D25" s="100" t="s">
        <v>213</v>
      </c>
      <c r="E25" s="101" t="s">
        <v>127</v>
      </c>
      <c r="F25" s="1398" t="s">
        <v>214</v>
      </c>
      <c r="G25" s="1393"/>
      <c r="H25" s="109" t="s">
        <v>181</v>
      </c>
      <c r="I25" s="108" t="s">
        <v>181</v>
      </c>
      <c r="J25" s="108" t="s">
        <v>181</v>
      </c>
      <c r="K25" s="108"/>
      <c r="L25" s="102" t="s">
        <v>182</v>
      </c>
      <c r="M25" s="102" t="s">
        <v>182</v>
      </c>
      <c r="N25" s="110" t="s">
        <v>183</v>
      </c>
      <c r="O25" s="111"/>
    </row>
    <row r="26" spans="1:15">
      <c r="A26" s="106" t="str">
        <f t="shared" si="0"/>
        <v>Cat 14: Franquicias</v>
      </c>
      <c r="B26" s="98">
        <v>3</v>
      </c>
      <c r="C26" s="99" t="s">
        <v>73</v>
      </c>
      <c r="D26" s="100" t="s">
        <v>215</v>
      </c>
      <c r="E26" s="101" t="s">
        <v>127</v>
      </c>
      <c r="F26" s="1398" t="s">
        <v>216</v>
      </c>
      <c r="G26" s="1393"/>
      <c r="H26" s="109" t="s">
        <v>181</v>
      </c>
      <c r="I26" s="108" t="s">
        <v>181</v>
      </c>
      <c r="J26" s="108" t="s">
        <v>181</v>
      </c>
      <c r="K26" s="108"/>
      <c r="L26" s="102" t="s">
        <v>182</v>
      </c>
      <c r="M26" s="102" t="s">
        <v>182</v>
      </c>
      <c r="N26" s="110" t="s">
        <v>183</v>
      </c>
      <c r="O26" s="111"/>
    </row>
    <row r="27" spans="1:15">
      <c r="A27" s="106" t="str">
        <f t="shared" si="0"/>
        <v>Cat 15: Inversiones:</v>
      </c>
      <c r="B27" s="98">
        <v>3</v>
      </c>
      <c r="C27" s="99" t="s">
        <v>217</v>
      </c>
      <c r="D27" s="100" t="s">
        <v>218</v>
      </c>
      <c r="E27" s="101" t="s">
        <v>127</v>
      </c>
      <c r="F27" s="1398" t="s">
        <v>219</v>
      </c>
      <c r="G27" s="1393"/>
      <c r="H27" s="109" t="s">
        <v>181</v>
      </c>
      <c r="I27" s="108" t="s">
        <v>181</v>
      </c>
      <c r="J27" s="108" t="s">
        <v>181</v>
      </c>
      <c r="K27" s="108"/>
      <c r="L27" s="102" t="s">
        <v>182</v>
      </c>
      <c r="M27" s="102" t="s">
        <v>182</v>
      </c>
      <c r="N27" s="110" t="s">
        <v>183</v>
      </c>
      <c r="O27" s="111"/>
    </row>
    <row r="28" spans="1:15"/>
    <row r="29" spans="1:15"/>
    <row r="30" spans="1:15"/>
    <row r="31" spans="1:15"/>
    <row r="32" spans="1:15"/>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sheetData>
  <mergeCells count="32">
    <mergeCell ref="F25:G25"/>
    <mergeCell ref="F26:G26"/>
    <mergeCell ref="F27:G27"/>
    <mergeCell ref="D14:D15"/>
    <mergeCell ref="F14:G14"/>
    <mergeCell ref="F15:G15"/>
    <mergeCell ref="F16:G16"/>
    <mergeCell ref="F17:G17"/>
    <mergeCell ref="F18:G18"/>
    <mergeCell ref="F19:G19"/>
    <mergeCell ref="F20:G20"/>
    <mergeCell ref="F21:G21"/>
    <mergeCell ref="F22:G22"/>
    <mergeCell ref="F23:G23"/>
    <mergeCell ref="F24:G24"/>
    <mergeCell ref="D7:D12"/>
    <mergeCell ref="F7:G7"/>
    <mergeCell ref="F8:G8"/>
    <mergeCell ref="F9:G9"/>
    <mergeCell ref="F10:G10"/>
    <mergeCell ref="F3:G3"/>
    <mergeCell ref="F4:G4"/>
    <mergeCell ref="F11:G11"/>
    <mergeCell ref="F12:G12"/>
    <mergeCell ref="F13:G13"/>
    <mergeCell ref="F5:G5"/>
    <mergeCell ref="F6:G6"/>
    <mergeCell ref="A1:A2"/>
    <mergeCell ref="B1:G1"/>
    <mergeCell ref="H1:K1"/>
    <mergeCell ref="L1:O1"/>
    <mergeCell ref="F2:G2"/>
  </mergeCells>
  <conditionalFormatting sqref="E3:E27">
    <cfRule type="containsText" dxfId="1" priority="1" operator="containsText" text="Sí">
      <formula>NOT(ISERROR(SEARCH(("Sí"),(E3))))</formula>
    </cfRule>
    <cfRule type="containsText" dxfId="0" priority="2" operator="containsText" text="No">
      <formula>NOT(ISERROR(SEARCH(("No"),(E3))))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4"/>
  <sheetViews>
    <sheetView workbookViewId="0"/>
  </sheetViews>
  <sheetFormatPr baseColWidth="10" defaultColWidth="12.6640625" defaultRowHeight="15" customHeight="1"/>
  <cols>
    <col min="1" max="1" width="22.88671875" customWidth="1"/>
    <col min="2" max="2" width="11.5546875" customWidth="1"/>
    <col min="3" max="3" width="34.21875" customWidth="1"/>
    <col min="5" max="5" width="21.21875" customWidth="1"/>
    <col min="6" max="6" width="26.88671875" customWidth="1"/>
  </cols>
  <sheetData>
    <row r="1" spans="1:6" ht="39.6">
      <c r="A1" s="112" t="s">
        <v>220</v>
      </c>
      <c r="B1" s="112" t="s">
        <v>221</v>
      </c>
      <c r="C1" s="112" t="s">
        <v>222</v>
      </c>
      <c r="D1" s="112" t="s">
        <v>223</v>
      </c>
      <c r="E1" s="112" t="s">
        <v>224</v>
      </c>
      <c r="F1" s="113" t="s">
        <v>225</v>
      </c>
    </row>
    <row r="2" spans="1:6" ht="26.4">
      <c r="A2" s="1401" t="s">
        <v>226</v>
      </c>
      <c r="B2" s="114">
        <v>1</v>
      </c>
      <c r="C2" s="114" t="s">
        <v>227</v>
      </c>
      <c r="D2" s="114" t="s">
        <v>228</v>
      </c>
      <c r="E2" s="114" t="s">
        <v>229</v>
      </c>
      <c r="F2" s="115"/>
    </row>
    <row r="3" spans="1:6" ht="13.2">
      <c r="A3" s="1402"/>
      <c r="B3" s="114">
        <f t="shared" ref="B3:B14" si="0">B2+1</f>
        <v>2</v>
      </c>
      <c r="C3" s="116" t="s">
        <v>230</v>
      </c>
      <c r="D3" s="114" t="s">
        <v>231</v>
      </c>
      <c r="E3" s="114" t="s">
        <v>232</v>
      </c>
      <c r="F3" s="115"/>
    </row>
    <row r="4" spans="1:6" ht="26.4">
      <c r="A4" s="1402"/>
      <c r="B4" s="114">
        <f t="shared" si="0"/>
        <v>3</v>
      </c>
      <c r="C4" s="116" t="s">
        <v>233</v>
      </c>
      <c r="D4" s="114" t="s">
        <v>234</v>
      </c>
      <c r="E4" s="114" t="s">
        <v>232</v>
      </c>
      <c r="F4" s="115"/>
    </row>
    <row r="5" spans="1:6" ht="26.4">
      <c r="A5" s="1402"/>
      <c r="B5" s="114">
        <f t="shared" si="0"/>
        <v>4</v>
      </c>
      <c r="C5" s="116" t="s">
        <v>235</v>
      </c>
      <c r="D5" s="114" t="s">
        <v>231</v>
      </c>
      <c r="E5" s="114" t="s">
        <v>232</v>
      </c>
      <c r="F5" s="115"/>
    </row>
    <row r="6" spans="1:6" ht="24" customHeight="1">
      <c r="A6" s="1403"/>
      <c r="B6" s="114">
        <f t="shared" si="0"/>
        <v>5</v>
      </c>
      <c r="C6" s="117" t="s">
        <v>236</v>
      </c>
      <c r="D6" s="114" t="s">
        <v>228</v>
      </c>
      <c r="E6" s="114" t="s">
        <v>237</v>
      </c>
      <c r="F6" s="118" t="s">
        <v>238</v>
      </c>
    </row>
    <row r="7" spans="1:6" ht="13.2">
      <c r="A7" s="1401" t="s">
        <v>239</v>
      </c>
      <c r="B7" s="114">
        <f t="shared" si="0"/>
        <v>6</v>
      </c>
      <c r="C7" s="116" t="s">
        <v>240</v>
      </c>
      <c r="D7" s="114" t="s">
        <v>241</v>
      </c>
      <c r="E7" s="114" t="s">
        <v>241</v>
      </c>
      <c r="F7" s="115"/>
    </row>
    <row r="8" spans="1:6" ht="13.2">
      <c r="A8" s="1402"/>
      <c r="B8" s="114">
        <f t="shared" si="0"/>
        <v>7</v>
      </c>
      <c r="C8" s="116" t="s">
        <v>242</v>
      </c>
      <c r="D8" s="114" t="s">
        <v>243</v>
      </c>
      <c r="E8" s="114" t="s">
        <v>229</v>
      </c>
      <c r="F8" s="115"/>
    </row>
    <row r="9" spans="1:6" ht="39.6">
      <c r="A9" s="1402"/>
      <c r="B9" s="114">
        <f t="shared" si="0"/>
        <v>8</v>
      </c>
      <c r="C9" s="116" t="s">
        <v>244</v>
      </c>
      <c r="D9" s="114" t="s">
        <v>245</v>
      </c>
      <c r="E9" s="114" t="s">
        <v>246</v>
      </c>
      <c r="F9" s="115"/>
    </row>
    <row r="10" spans="1:6" ht="26.4">
      <c r="A10" s="1403"/>
      <c r="B10" s="114">
        <f t="shared" si="0"/>
        <v>9</v>
      </c>
      <c r="C10" s="116" t="s">
        <v>247</v>
      </c>
      <c r="D10" s="114" t="s">
        <v>248</v>
      </c>
      <c r="E10" s="114" t="s">
        <v>249</v>
      </c>
      <c r="F10" s="119" t="s">
        <v>250</v>
      </c>
    </row>
    <row r="11" spans="1:6" ht="13.2">
      <c r="A11" s="1401" t="s">
        <v>251</v>
      </c>
      <c r="B11" s="114">
        <f t="shared" si="0"/>
        <v>10</v>
      </c>
      <c r="C11" s="116" t="s">
        <v>104</v>
      </c>
      <c r="D11" s="114" t="s">
        <v>241</v>
      </c>
      <c r="E11" s="114" t="s">
        <v>241</v>
      </c>
      <c r="F11" s="115"/>
    </row>
    <row r="12" spans="1:6" ht="13.2">
      <c r="A12" s="1402"/>
      <c r="B12" s="114">
        <f t="shared" si="0"/>
        <v>11</v>
      </c>
      <c r="C12" s="116" t="s">
        <v>101</v>
      </c>
      <c r="D12" s="114" t="s">
        <v>252</v>
      </c>
      <c r="E12" s="114" t="s">
        <v>241</v>
      </c>
      <c r="F12" s="115"/>
    </row>
    <row r="13" spans="1:6" ht="13.2">
      <c r="A13" s="1402"/>
      <c r="B13" s="114">
        <f t="shared" si="0"/>
        <v>12</v>
      </c>
      <c r="C13" s="116" t="s">
        <v>131</v>
      </c>
      <c r="D13" s="114" t="s">
        <v>248</v>
      </c>
      <c r="E13" s="114" t="s">
        <v>248</v>
      </c>
      <c r="F13" s="115"/>
    </row>
    <row r="14" spans="1:6" ht="13.2">
      <c r="A14" s="1403"/>
      <c r="B14" s="114">
        <f t="shared" si="0"/>
        <v>13</v>
      </c>
      <c r="C14" s="116" t="s">
        <v>253</v>
      </c>
      <c r="D14" s="114" t="s">
        <v>248</v>
      </c>
      <c r="E14" s="114" t="s">
        <v>248</v>
      </c>
      <c r="F14" s="115"/>
    </row>
  </sheetData>
  <mergeCells count="3">
    <mergeCell ref="A2:A6"/>
    <mergeCell ref="A7:A10"/>
    <mergeCell ref="A11:A14"/>
  </mergeCells>
  <hyperlinks>
    <hyperlink ref="C3" location="'3. Transporte aéreo'!A1" display="Transporte Aéreo" xr:uid="{00000000-0004-0000-0300-000000000000}"/>
    <hyperlink ref="C4" location="'2. Distribución'!A1" display="Distribución (UM, PM, TL) (Propio y Externo)" xr:uid="{00000000-0004-0000-0300-000001000000}"/>
    <hyperlink ref="C5" location="'4. Transporte troncal'!A1" display="Transporte Troncal _x000a_(Propio y Externo)" xr:uid="{00000000-0004-0000-0300-000002000000}"/>
    <hyperlink ref="C6" location="'9. Residuos'!A1" display="Residuos" xr:uid="{00000000-0004-0000-0300-000003000000}"/>
    <hyperlink ref="F6" r:id="rId1" location="slide=id.p1" xr:uid="{00000000-0004-0000-0300-000004000000}"/>
    <hyperlink ref="C7" location="'5. Bienes y servicios'!A1" display="Compra de bienes y servicios" xr:uid="{00000000-0004-0000-0300-000005000000}"/>
    <hyperlink ref="C8" location="'6. Traslado colaboradores'!A1" display="Traslado de colaboradores" xr:uid="{00000000-0004-0000-0300-000006000000}"/>
    <hyperlink ref="C9" location="'8. Insumos y Empaque'!A1" display="Insumos Operacionales_x000a_Compra de empaques y fin de vida de productos vendidos" xr:uid="{00000000-0004-0000-0300-000007000000}"/>
    <hyperlink ref="C10" location="'7. Energia Electrica'!A1" display="Energía Electrica" xr:uid="{00000000-0004-0000-0300-000008000000}"/>
    <hyperlink ref="F10" r:id="rId2" location="slide=id.g181f8695f58_0_578" xr:uid="{00000000-0004-0000-0300-000009000000}"/>
    <hyperlink ref="C11" location="'10. Bienes de capital'!A1" display="Bienes de Capital" xr:uid="{00000000-0004-0000-0300-00000A000000}"/>
    <hyperlink ref="C12" location="'12. Viajes de Negocio'!A1" display="Viajes de negocio" xr:uid="{00000000-0004-0000-0300-00000B000000}"/>
    <hyperlink ref="C13" location="'13. Combustible Fuentes fijas'!A1" display="Fuentes Fijas" xr:uid="{00000000-0004-0000-0300-00000C000000}"/>
    <hyperlink ref="C14" location="'11. Refrigerantes'!A1" display="Emisiones Fugitivas" xr:uid="{00000000-0004-0000-0300-00000D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K17"/>
  <sheetViews>
    <sheetView workbookViewId="0"/>
  </sheetViews>
  <sheetFormatPr baseColWidth="10" defaultColWidth="12.6640625" defaultRowHeight="15" customHeight="1"/>
  <cols>
    <col min="2" max="2" width="16.6640625" customWidth="1"/>
    <col min="3" max="7" width="7" customWidth="1"/>
    <col min="8" max="8" width="18.21875" customWidth="1"/>
    <col min="9" max="9" width="41.109375" customWidth="1"/>
    <col min="10" max="10" width="10.109375" customWidth="1"/>
  </cols>
  <sheetData>
    <row r="2" spans="2:11" ht="13.2">
      <c r="B2" s="1409" t="s">
        <v>254</v>
      </c>
      <c r="C2" s="121" t="s">
        <v>47</v>
      </c>
      <c r="D2" s="1404" t="s">
        <v>255</v>
      </c>
      <c r="E2" s="1392"/>
      <c r="F2" s="1392"/>
      <c r="G2" s="1393"/>
      <c r="H2" s="1404" t="s">
        <v>256</v>
      </c>
      <c r="I2" s="1392"/>
      <c r="J2" s="1392"/>
      <c r="K2" s="1393"/>
    </row>
    <row r="3" spans="2:11" ht="13.2">
      <c r="B3" s="1388"/>
      <c r="C3" s="121">
        <v>2022</v>
      </c>
      <c r="D3" s="121">
        <v>2021</v>
      </c>
      <c r="E3" s="121">
        <v>2022</v>
      </c>
      <c r="F3" s="121" t="s">
        <v>8</v>
      </c>
      <c r="G3" s="121" t="s">
        <v>257</v>
      </c>
      <c r="H3" s="121" t="s">
        <v>258</v>
      </c>
      <c r="I3" s="121" t="s">
        <v>259</v>
      </c>
      <c r="J3" s="121" t="s">
        <v>260</v>
      </c>
      <c r="K3" s="121" t="s">
        <v>261</v>
      </c>
    </row>
    <row r="4" spans="2:11" ht="21" customHeight="1">
      <c r="B4" s="1405" t="s">
        <v>262</v>
      </c>
      <c r="C4" s="1406">
        <v>0.23</v>
      </c>
      <c r="D4" s="1407">
        <v>10100</v>
      </c>
      <c r="E4" s="1407">
        <v>6945</v>
      </c>
      <c r="F4" s="1408">
        <v>-3155</v>
      </c>
      <c r="G4" s="1406">
        <v>-0.31</v>
      </c>
      <c r="H4" s="124" t="s">
        <v>263</v>
      </c>
      <c r="I4" s="125" t="s">
        <v>264</v>
      </c>
      <c r="J4" s="126" t="s">
        <v>265</v>
      </c>
      <c r="K4" s="127"/>
    </row>
    <row r="5" spans="2:11" ht="21" customHeight="1">
      <c r="B5" s="1387"/>
      <c r="C5" s="1387"/>
      <c r="D5" s="1387"/>
      <c r="E5" s="1387"/>
      <c r="F5" s="1387"/>
      <c r="G5" s="1387"/>
      <c r="H5" s="124" t="s">
        <v>266</v>
      </c>
      <c r="I5" s="125" t="s">
        <v>267</v>
      </c>
      <c r="J5" s="126" t="s">
        <v>268</v>
      </c>
      <c r="K5" s="128"/>
    </row>
    <row r="6" spans="2:11" ht="21" customHeight="1">
      <c r="B6" s="129" t="s">
        <v>83</v>
      </c>
      <c r="C6" s="122">
        <v>0.23</v>
      </c>
      <c r="D6" s="123">
        <v>10259</v>
      </c>
      <c r="E6" s="123">
        <v>6789</v>
      </c>
      <c r="F6" s="123">
        <v>-3470</v>
      </c>
      <c r="G6" s="122">
        <v>-0.34</v>
      </c>
      <c r="H6" s="124"/>
      <c r="I6" s="125"/>
      <c r="J6" s="126"/>
      <c r="K6" s="128"/>
    </row>
    <row r="7" spans="2:11" ht="21" customHeight="1">
      <c r="B7" s="129" t="s">
        <v>269</v>
      </c>
      <c r="C7" s="122">
        <v>0.15</v>
      </c>
      <c r="D7" s="123">
        <v>11042</v>
      </c>
      <c r="E7" s="123">
        <v>4359</v>
      </c>
      <c r="F7" s="123">
        <v>-6683</v>
      </c>
      <c r="G7" s="122">
        <v>-0.61</v>
      </c>
      <c r="H7" s="124" t="s">
        <v>270</v>
      </c>
      <c r="I7" s="125" t="s">
        <v>271</v>
      </c>
      <c r="J7" s="126" t="s">
        <v>272</v>
      </c>
      <c r="K7" s="128"/>
    </row>
    <row r="8" spans="2:11" ht="21" customHeight="1">
      <c r="B8" s="129" t="s">
        <v>273</v>
      </c>
      <c r="C8" s="122">
        <v>0.14000000000000001</v>
      </c>
      <c r="D8" s="123">
        <v>6615</v>
      </c>
      <c r="E8" s="123">
        <v>4140</v>
      </c>
      <c r="F8" s="123">
        <v>-2475</v>
      </c>
      <c r="G8" s="122">
        <v>-0.37</v>
      </c>
      <c r="H8" s="124"/>
      <c r="I8" s="125"/>
      <c r="J8" s="126"/>
      <c r="K8" s="128"/>
    </row>
    <row r="9" spans="2:11" ht="21" customHeight="1">
      <c r="B9" s="129" t="s">
        <v>274</v>
      </c>
      <c r="C9" s="122">
        <v>0.11</v>
      </c>
      <c r="D9" s="123">
        <v>4424</v>
      </c>
      <c r="E9" s="123">
        <v>3248</v>
      </c>
      <c r="F9" s="123">
        <v>-1176</v>
      </c>
      <c r="G9" s="122">
        <v>-0.27</v>
      </c>
      <c r="H9" s="124"/>
      <c r="I9" s="125"/>
      <c r="J9" s="126"/>
      <c r="K9" s="128"/>
    </row>
    <row r="10" spans="2:11" ht="21" customHeight="1">
      <c r="B10" s="1412" t="s">
        <v>275</v>
      </c>
      <c r="C10" s="1406">
        <v>0.04</v>
      </c>
      <c r="D10" s="1407">
        <v>1894</v>
      </c>
      <c r="E10" s="1407">
        <v>1344</v>
      </c>
      <c r="F10" s="1408">
        <v>-550</v>
      </c>
      <c r="G10" s="1406">
        <v>-0.28999999999999998</v>
      </c>
      <c r="H10" s="124" t="s">
        <v>276</v>
      </c>
      <c r="I10" s="125" t="s">
        <v>277</v>
      </c>
      <c r="J10" s="126" t="s">
        <v>278</v>
      </c>
      <c r="K10" s="128"/>
    </row>
    <row r="11" spans="2:11" ht="21" customHeight="1">
      <c r="B11" s="1387"/>
      <c r="C11" s="1387"/>
      <c r="D11" s="1387"/>
      <c r="E11" s="1387"/>
      <c r="F11" s="1387"/>
      <c r="G11" s="1387"/>
      <c r="H11" s="124" t="s">
        <v>279</v>
      </c>
      <c r="I11" s="125" t="s">
        <v>280</v>
      </c>
      <c r="J11" s="126" t="s">
        <v>281</v>
      </c>
      <c r="K11" s="128"/>
    </row>
    <row r="12" spans="2:11" ht="21" customHeight="1">
      <c r="B12" s="1412" t="s">
        <v>282</v>
      </c>
      <c r="C12" s="1406">
        <v>0.05</v>
      </c>
      <c r="D12" s="1407">
        <v>4220</v>
      </c>
      <c r="E12" s="1407">
        <v>1519</v>
      </c>
      <c r="F12" s="1408">
        <v>-2700</v>
      </c>
      <c r="G12" s="1406">
        <v>-0.64</v>
      </c>
      <c r="H12" s="124" t="s">
        <v>283</v>
      </c>
      <c r="I12" s="125" t="s">
        <v>284</v>
      </c>
      <c r="J12" s="126" t="s">
        <v>285</v>
      </c>
      <c r="K12" s="128"/>
    </row>
    <row r="13" spans="2:11" ht="21" customHeight="1">
      <c r="B13" s="1387"/>
      <c r="C13" s="1387"/>
      <c r="D13" s="1387"/>
      <c r="E13" s="1387"/>
      <c r="F13" s="1387"/>
      <c r="G13" s="1387"/>
      <c r="H13" s="124" t="s">
        <v>286</v>
      </c>
      <c r="I13" s="125" t="s">
        <v>287</v>
      </c>
      <c r="J13" s="126" t="s">
        <v>288</v>
      </c>
      <c r="K13" s="128"/>
    </row>
    <row r="14" spans="2:11" ht="21" customHeight="1">
      <c r="B14" s="1412" t="s">
        <v>236</v>
      </c>
      <c r="C14" s="1406">
        <v>0.01</v>
      </c>
      <c r="D14" s="1407">
        <v>544</v>
      </c>
      <c r="E14" s="1407">
        <v>318</v>
      </c>
      <c r="F14" s="1408">
        <v>-226</v>
      </c>
      <c r="G14" s="1406">
        <v>-0.42</v>
      </c>
      <c r="H14" s="124" t="s">
        <v>289</v>
      </c>
      <c r="I14" s="125" t="s">
        <v>290</v>
      </c>
      <c r="J14" s="1410" t="s">
        <v>291</v>
      </c>
      <c r="K14" s="128"/>
    </row>
    <row r="15" spans="2:11" ht="21" customHeight="1">
      <c r="B15" s="1387"/>
      <c r="C15" s="1387"/>
      <c r="D15" s="1387"/>
      <c r="E15" s="1387"/>
      <c r="F15" s="1387"/>
      <c r="G15" s="1387"/>
      <c r="H15" s="124" t="s">
        <v>292</v>
      </c>
      <c r="I15" s="125" t="s">
        <v>293</v>
      </c>
      <c r="J15" s="1387"/>
      <c r="K15" s="128"/>
    </row>
    <row r="16" spans="2:11" ht="21" customHeight="1">
      <c r="B16" s="129" t="s">
        <v>294</v>
      </c>
      <c r="C16" s="130">
        <v>0.04</v>
      </c>
      <c r="D16" s="131">
        <v>1186</v>
      </c>
      <c r="E16" s="131">
        <v>1235</v>
      </c>
      <c r="F16" s="132">
        <v>49</v>
      </c>
      <c r="G16" s="130">
        <v>0.04</v>
      </c>
      <c r="H16" s="133"/>
      <c r="I16" s="133"/>
      <c r="J16" s="134"/>
      <c r="K16" s="135"/>
    </row>
    <row r="17" spans="2:11" ht="21" customHeight="1">
      <c r="B17" s="136" t="s">
        <v>39</v>
      </c>
      <c r="C17" s="137">
        <v>1</v>
      </c>
      <c r="D17" s="138">
        <v>50284</v>
      </c>
      <c r="E17" s="138">
        <v>29897</v>
      </c>
      <c r="F17" s="138">
        <v>-20387</v>
      </c>
      <c r="G17" s="137">
        <v>-0.41</v>
      </c>
      <c r="H17" s="1411"/>
      <c r="I17" s="1392"/>
      <c r="J17" s="1392"/>
      <c r="K17" s="1393"/>
    </row>
  </sheetData>
  <mergeCells count="29">
    <mergeCell ref="G14:G15"/>
    <mergeCell ref="J14:J15"/>
    <mergeCell ref="H17:K17"/>
    <mergeCell ref="B10:B11"/>
    <mergeCell ref="B12:B13"/>
    <mergeCell ref="C12:C13"/>
    <mergeCell ref="D12:D13"/>
    <mergeCell ref="E12:E13"/>
    <mergeCell ref="F12:F13"/>
    <mergeCell ref="G12:G13"/>
    <mergeCell ref="B14:B15"/>
    <mergeCell ref="C14:C15"/>
    <mergeCell ref="D14:D15"/>
    <mergeCell ref="E14:E15"/>
    <mergeCell ref="F14:F15"/>
    <mergeCell ref="C10:C11"/>
    <mergeCell ref="D10:D11"/>
    <mergeCell ref="E10:E11"/>
    <mergeCell ref="F10:F11"/>
    <mergeCell ref="G10:G11"/>
    <mergeCell ref="B2:B3"/>
    <mergeCell ref="D2:G2"/>
    <mergeCell ref="H2:K2"/>
    <mergeCell ref="B4:B5"/>
    <mergeCell ref="C4:C5"/>
    <mergeCell ref="D4:D5"/>
    <mergeCell ref="E4:E5"/>
    <mergeCell ref="F4:F5"/>
    <mergeCell ref="G4:G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AL98"/>
  <sheetViews>
    <sheetView showGridLines="0" topLeftCell="A37" zoomScale="80" zoomScaleNormal="80" workbookViewId="0">
      <pane xSplit="3" topLeftCell="D1" activePane="topRight" state="frozen"/>
      <selection pane="topRight" activeCell="B10" sqref="B10"/>
    </sheetView>
  </sheetViews>
  <sheetFormatPr baseColWidth="10" defaultColWidth="12.6640625" defaultRowHeight="13.2"/>
  <cols>
    <col min="1" max="1" width="1.77734375" customWidth="1"/>
    <col min="2" max="2" width="2.109375" bestFit="1" customWidth="1"/>
    <col min="3" max="3" width="45.21875" bestFit="1" customWidth="1"/>
    <col min="4" max="4" width="18.21875" bestFit="1" customWidth="1"/>
    <col min="5" max="6" width="14.5546875" bestFit="1" customWidth="1"/>
    <col min="7" max="7" width="14.21875" bestFit="1" customWidth="1"/>
    <col min="8" max="8" width="8.5546875" bestFit="1" customWidth="1"/>
    <col min="9" max="9" width="26.6640625" bestFit="1" customWidth="1"/>
    <col min="10" max="10" width="5.44140625" bestFit="1" customWidth="1"/>
    <col min="11" max="11" width="254.21875" bestFit="1" customWidth="1"/>
    <col min="12" max="12" width="8.5546875" bestFit="1" customWidth="1"/>
    <col min="13" max="13" width="8.44140625" bestFit="1" customWidth="1"/>
    <col min="14" max="14" width="7.33203125" bestFit="1" customWidth="1"/>
    <col min="15" max="16" width="10.77734375" bestFit="1" customWidth="1"/>
    <col min="17" max="17" width="22.21875" bestFit="1" customWidth="1"/>
    <col min="18" max="18" width="10.77734375" bestFit="1" customWidth="1"/>
    <col min="19" max="19" width="197.21875" bestFit="1" customWidth="1"/>
    <col min="20" max="20" width="10.44140625" bestFit="1" customWidth="1"/>
    <col min="21" max="21" width="5.44140625" bestFit="1" customWidth="1"/>
    <col min="22" max="22" width="22.77734375" bestFit="1" customWidth="1"/>
    <col min="23" max="23" width="7" bestFit="1" customWidth="1"/>
    <col min="24" max="25" width="8.109375" bestFit="1" customWidth="1"/>
    <col min="26" max="26" width="5.44140625" bestFit="1" customWidth="1"/>
    <col min="27" max="31" width="11.44140625" customWidth="1"/>
    <col min="32" max="32" width="33.44140625" bestFit="1" customWidth="1"/>
    <col min="33" max="33" width="8.109375" bestFit="1" customWidth="1"/>
    <col min="34" max="34" width="16.6640625" bestFit="1" customWidth="1"/>
    <col min="35" max="35" width="8.109375" bestFit="1" customWidth="1"/>
    <col min="36" max="36" width="16.6640625" bestFit="1" customWidth="1"/>
    <col min="37" max="38" width="9.88671875" bestFit="1" customWidth="1"/>
    <col min="39" max="42" width="11.44140625" customWidth="1"/>
  </cols>
  <sheetData>
    <row r="2" spans="3:19" ht="18">
      <c r="C2" s="146" t="s">
        <v>295</v>
      </c>
      <c r="D2" s="141"/>
      <c r="E2" s="141"/>
      <c r="F2" s="141"/>
      <c r="G2" s="141"/>
      <c r="H2" s="141"/>
      <c r="I2" s="141"/>
      <c r="J2" s="141"/>
      <c r="K2" s="141"/>
      <c r="L2" s="142"/>
      <c r="M2" s="142"/>
      <c r="N2" s="142"/>
      <c r="O2" s="142"/>
      <c r="P2" s="142"/>
      <c r="Q2" s="141"/>
      <c r="R2" s="141"/>
      <c r="S2" s="141"/>
    </row>
    <row r="3" spans="3:19" ht="18">
      <c r="C3" s="1413" t="s">
        <v>296</v>
      </c>
      <c r="D3" s="1414" t="s">
        <v>297</v>
      </c>
      <c r="E3" s="1415"/>
      <c r="F3" s="1416"/>
      <c r="G3" s="1417" t="s">
        <v>255</v>
      </c>
      <c r="H3" s="1415"/>
      <c r="I3" s="1415"/>
      <c r="J3" s="1415"/>
      <c r="K3" s="1416"/>
      <c r="L3" s="148"/>
      <c r="M3" s="148"/>
      <c r="N3" s="148"/>
      <c r="O3" s="1417" t="s">
        <v>298</v>
      </c>
      <c r="P3" s="1415"/>
      <c r="Q3" s="1415"/>
      <c r="R3" s="1415"/>
      <c r="S3" s="1416"/>
    </row>
    <row r="4" spans="3:19" ht="17.399999999999999">
      <c r="C4" s="1402"/>
      <c r="D4" s="150">
        <v>2021</v>
      </c>
      <c r="E4" s="150">
        <v>2022</v>
      </c>
      <c r="F4" s="150" t="s">
        <v>299</v>
      </c>
      <c r="G4" s="150">
        <v>2021</v>
      </c>
      <c r="H4" s="150">
        <v>2022</v>
      </c>
      <c r="I4" s="150" t="s">
        <v>299</v>
      </c>
      <c r="J4" s="150" t="s">
        <v>300</v>
      </c>
      <c r="K4" s="150" t="s">
        <v>301</v>
      </c>
      <c r="L4" s="151"/>
      <c r="M4" s="151"/>
      <c r="N4" s="151"/>
      <c r="O4" s="151">
        <v>2021</v>
      </c>
      <c r="P4" s="151">
        <v>2022</v>
      </c>
      <c r="Q4" s="151" t="s">
        <v>299</v>
      </c>
      <c r="R4" s="151" t="s">
        <v>300</v>
      </c>
      <c r="S4" s="151" t="s">
        <v>301</v>
      </c>
    </row>
    <row r="5" spans="3:19" ht="18">
      <c r="C5" s="1403"/>
      <c r="D5" s="152">
        <v>1</v>
      </c>
      <c r="E5" s="152">
        <v>1</v>
      </c>
      <c r="F5" s="153">
        <v>0</v>
      </c>
      <c r="G5" s="154">
        <f t="shared" ref="G5:H5" si="0">SUM(G37:G51)</f>
        <v>50284.020817950099</v>
      </c>
      <c r="H5" s="155">
        <f t="shared" si="0"/>
        <v>29928.615359813099</v>
      </c>
      <c r="I5" s="154">
        <f>H5-G5</f>
        <v>-20355.405458137</v>
      </c>
      <c r="J5" s="156">
        <f>I5/G5</f>
        <v>-0.40480862761218661</v>
      </c>
      <c r="K5" s="157"/>
      <c r="L5" s="158"/>
      <c r="M5" s="158"/>
      <c r="N5" s="158"/>
      <c r="O5" s="158">
        <f t="shared" ref="O5:P5" si="1">SUM(O37:O51)</f>
        <v>1.5263876637533076</v>
      </c>
      <c r="P5" s="158">
        <f t="shared" si="1"/>
        <v>1.5664647436910157</v>
      </c>
      <c r="Q5" s="159">
        <f>P5-O5</f>
        <v>4.0077079937708149E-2</v>
      </c>
      <c r="R5" s="160">
        <f>Q5/O5</f>
        <v>2.6256160796766858E-2</v>
      </c>
      <c r="S5" s="161"/>
    </row>
    <row r="6" spans="3:19" ht="17.399999999999999">
      <c r="C6" s="162"/>
      <c r="D6" s="162"/>
      <c r="E6" s="162"/>
      <c r="F6" s="162"/>
      <c r="G6" s="162"/>
      <c r="H6" s="162"/>
      <c r="I6" s="162"/>
      <c r="J6" s="162"/>
      <c r="K6" s="162"/>
      <c r="L6" s="163"/>
      <c r="M6" s="163"/>
      <c r="N6" s="163"/>
      <c r="O6" s="163"/>
      <c r="P6" s="163"/>
      <c r="Q6" s="163"/>
      <c r="R6" s="163"/>
      <c r="S6" s="163"/>
    </row>
    <row r="7" spans="3:19" ht="17.399999999999999">
      <c r="C7" s="164" t="s">
        <v>302</v>
      </c>
      <c r="D7" s="165"/>
      <c r="E7" s="165"/>
      <c r="F7" s="166"/>
      <c r="G7" s="167"/>
      <c r="H7" s="167"/>
      <c r="I7" s="167"/>
      <c r="J7" s="167"/>
      <c r="K7" s="168"/>
      <c r="L7" s="169"/>
      <c r="M7" s="169"/>
      <c r="N7" s="169"/>
      <c r="O7" s="170">
        <f>'1. Demanda'!N7</f>
        <v>32943152</v>
      </c>
      <c r="P7" s="169">
        <f>'1. Demanda'!N4</f>
        <v>19105834</v>
      </c>
      <c r="Q7" s="169">
        <f>+P7-O7</f>
        <v>-13837318</v>
      </c>
      <c r="R7" s="160">
        <f>Q7/O7</f>
        <v>-0.42003624911180326</v>
      </c>
      <c r="S7" s="171"/>
    </row>
    <row r="8" spans="3:19" ht="17.399999999999999">
      <c r="C8" s="140"/>
      <c r="D8" s="140"/>
      <c r="E8" s="140"/>
      <c r="F8" s="140"/>
      <c r="G8" s="140"/>
      <c r="H8" s="140"/>
      <c r="I8" s="140"/>
      <c r="J8" s="140"/>
      <c r="K8" s="140"/>
      <c r="L8" s="172"/>
      <c r="M8" s="172"/>
      <c r="N8" s="172"/>
      <c r="O8" s="172"/>
      <c r="P8" s="172"/>
      <c r="Q8" s="172"/>
      <c r="R8" s="172"/>
      <c r="S8" s="172"/>
    </row>
    <row r="9" spans="3:19" ht="17.399999999999999">
      <c r="C9" s="140"/>
      <c r="D9" s="140"/>
      <c r="E9" s="140"/>
      <c r="F9" s="140"/>
      <c r="G9" s="140"/>
      <c r="H9" s="140"/>
      <c r="I9" s="140"/>
      <c r="J9" s="140"/>
      <c r="K9" s="140"/>
      <c r="L9" s="172"/>
      <c r="M9" s="172"/>
      <c r="N9" s="172"/>
      <c r="O9" s="172"/>
      <c r="P9" s="172"/>
      <c r="Q9" s="172"/>
      <c r="R9" s="172"/>
      <c r="S9" s="172"/>
    </row>
    <row r="10" spans="3:19" ht="18">
      <c r="C10" s="173" t="s">
        <v>303</v>
      </c>
      <c r="D10" s="174"/>
      <c r="E10" s="174"/>
      <c r="F10" s="174"/>
      <c r="G10" s="174"/>
      <c r="H10" s="174"/>
      <c r="I10" s="174"/>
      <c r="J10" s="174"/>
      <c r="K10" s="174"/>
      <c r="L10" s="174"/>
      <c r="M10" s="174"/>
      <c r="N10" s="174"/>
      <c r="O10" s="174"/>
      <c r="P10" s="174"/>
      <c r="Q10" s="174"/>
      <c r="R10" s="174"/>
      <c r="S10" s="174"/>
    </row>
    <row r="11" spans="3:19" ht="18">
      <c r="C11" s="1422" t="s">
        <v>304</v>
      </c>
      <c r="D11" s="1418" t="s">
        <v>297</v>
      </c>
      <c r="E11" s="1419"/>
      <c r="F11" s="1420"/>
      <c r="G11" s="1421" t="s">
        <v>255</v>
      </c>
      <c r="H11" s="1419"/>
      <c r="I11" s="1419"/>
      <c r="J11" s="1419"/>
      <c r="K11" s="1420"/>
      <c r="L11" s="177"/>
      <c r="M11" s="177"/>
      <c r="N11" s="177"/>
      <c r="O11" s="1421" t="s">
        <v>298</v>
      </c>
      <c r="P11" s="1419"/>
      <c r="Q11" s="1419"/>
      <c r="R11" s="1419"/>
      <c r="S11" s="1420"/>
    </row>
    <row r="12" spans="3:19" ht="17.399999999999999">
      <c r="C12" s="1403"/>
      <c r="D12" s="178">
        <v>2021</v>
      </c>
      <c r="E12" s="178">
        <v>2022</v>
      </c>
      <c r="F12" s="178" t="s">
        <v>299</v>
      </c>
      <c r="G12" s="178">
        <v>2021</v>
      </c>
      <c r="H12" s="178">
        <v>2022</v>
      </c>
      <c r="I12" s="178" t="s">
        <v>299</v>
      </c>
      <c r="J12" s="150" t="s">
        <v>300</v>
      </c>
      <c r="K12" s="178" t="s">
        <v>301</v>
      </c>
      <c r="L12" s="178"/>
      <c r="M12" s="178"/>
      <c r="N12" s="178"/>
      <c r="O12" s="178">
        <v>2021</v>
      </c>
      <c r="P12" s="178">
        <v>2022</v>
      </c>
      <c r="Q12" s="178" t="s">
        <v>299</v>
      </c>
      <c r="R12" s="151" t="s">
        <v>300</v>
      </c>
      <c r="S12" s="178" t="s">
        <v>301</v>
      </c>
    </row>
    <row r="13" spans="3:19" ht="17.399999999999999">
      <c r="C13" s="179" t="s">
        <v>231</v>
      </c>
      <c r="D13" s="180">
        <f t="shared" ref="D13:E13" si="2">SUM(D22:D24)</f>
        <v>0.62445486855859011</v>
      </c>
      <c r="E13" s="180">
        <f t="shared" si="2"/>
        <v>0.60454050113930535</v>
      </c>
      <c r="F13" s="180">
        <f t="shared" ref="F13:F16" si="3">E13-D13</f>
        <v>-1.9914367419284762E-2</v>
      </c>
      <c r="G13" s="181">
        <f t="shared" ref="G13:H13" si="4">SUM(G22:G24)</f>
        <v>31400.40428700269</v>
      </c>
      <c r="H13" s="181">
        <f t="shared" si="4"/>
        <v>18093.060128026922</v>
      </c>
      <c r="I13" s="181">
        <f t="shared" ref="I13:I16" si="5">H13-G13</f>
        <v>-13307.344158975768</v>
      </c>
      <c r="J13" s="180">
        <f t="shared" ref="J13:J16" si="6">I13/G13</f>
        <v>-0.42379531286748329</v>
      </c>
      <c r="K13" s="147"/>
      <c r="L13" s="182"/>
      <c r="M13" s="182"/>
      <c r="N13" s="182"/>
      <c r="O13" s="182">
        <f t="shared" ref="O13:P13" si="7">SUM(O22:O24)</f>
        <v>0.95316939578224602</v>
      </c>
      <c r="P13" s="182">
        <f t="shared" si="7"/>
        <v>0.94699138116802029</v>
      </c>
      <c r="Q13" s="182">
        <f t="shared" ref="Q13:Q15" si="8">P13-O13</f>
        <v>-6.1780146142257353E-3</v>
      </c>
      <c r="R13" s="183">
        <f t="shared" ref="R13:R16" si="9">Q13/O13</f>
        <v>-6.4815494932624947E-3</v>
      </c>
      <c r="S13" s="184"/>
    </row>
    <row r="14" spans="3:19" ht="17.399999999999999">
      <c r="C14" s="185" t="s">
        <v>305</v>
      </c>
      <c r="D14" s="180">
        <f t="shared" ref="D14:E14" si="10">D25+D28+D27</f>
        <v>0.25314789620163791</v>
      </c>
      <c r="E14" s="180">
        <f t="shared" si="10"/>
        <v>0.23399363689566771</v>
      </c>
      <c r="F14" s="180">
        <f t="shared" si="3"/>
        <v>-1.91542593059702E-2</v>
      </c>
      <c r="G14" s="181">
        <f t="shared" ref="G14:H14" si="11">G25+G28+G27</f>
        <v>12729.416784729265</v>
      </c>
      <c r="H14" s="181">
        <f t="shared" si="11"/>
        <v>7003.1055552942098</v>
      </c>
      <c r="I14" s="181">
        <f t="shared" si="5"/>
        <v>-5726.3112294350549</v>
      </c>
      <c r="J14" s="180">
        <f t="shared" si="6"/>
        <v>-0.44984867148859287</v>
      </c>
      <c r="K14" s="147"/>
      <c r="L14" s="182"/>
      <c r="M14" s="182"/>
      <c r="N14" s="182"/>
      <c r="O14" s="182">
        <f t="shared" ref="O14:P14" si="12">O25+O28+O27</f>
        <v>0.38640555052926523</v>
      </c>
      <c r="P14" s="182">
        <f t="shared" si="12"/>
        <v>0.36654278244510075</v>
      </c>
      <c r="Q14" s="182">
        <f t="shared" si="8"/>
        <v>-1.9862768084164484E-2</v>
      </c>
      <c r="R14" s="183">
        <f t="shared" si="9"/>
        <v>-5.1403940903432067E-2</v>
      </c>
      <c r="S14" s="184"/>
    </row>
    <row r="15" spans="3:19" ht="17.399999999999999">
      <c r="C15" s="186" t="s">
        <v>306</v>
      </c>
      <c r="D15" s="187">
        <f t="shared" ref="D15:E15" si="13">D26+D29+D30</f>
        <v>0.12239723523977197</v>
      </c>
      <c r="E15" s="187">
        <f t="shared" si="13"/>
        <v>0.16146586196502694</v>
      </c>
      <c r="F15" s="187">
        <f t="shared" si="3"/>
        <v>3.9068626725254962E-2</v>
      </c>
      <c r="G15" s="188">
        <f t="shared" ref="G15:H15" si="14">G26+G29+G30</f>
        <v>6154.684451434634</v>
      </c>
      <c r="H15" s="188">
        <f t="shared" si="14"/>
        <v>4832.4496764919659</v>
      </c>
      <c r="I15" s="188">
        <f t="shared" si="5"/>
        <v>-1322.2347749426681</v>
      </c>
      <c r="J15" s="180">
        <f t="shared" si="6"/>
        <v>-0.21483388553485633</v>
      </c>
      <c r="K15" s="189"/>
      <c r="L15" s="190"/>
      <c r="M15" s="190"/>
      <c r="N15" s="190"/>
      <c r="O15" s="190">
        <f t="shared" ref="O15:P15" si="15">O26+O29+O30</f>
        <v>0.18682743082491421</v>
      </c>
      <c r="P15" s="190">
        <f t="shared" si="15"/>
        <v>0.25293058007789487</v>
      </c>
      <c r="Q15" s="190">
        <f t="shared" si="8"/>
        <v>6.6103149252980664E-2</v>
      </c>
      <c r="R15" s="183">
        <f t="shared" si="9"/>
        <v>0.35381929174484766</v>
      </c>
      <c r="S15" s="191"/>
    </row>
    <row r="16" spans="3:19" ht="17.399999999999999">
      <c r="C16" s="192" t="s">
        <v>39</v>
      </c>
      <c r="D16" s="156">
        <f t="shared" ref="D16:E16" si="16">D15+D14+D13</f>
        <v>1</v>
      </c>
      <c r="E16" s="156">
        <f t="shared" si="16"/>
        <v>1</v>
      </c>
      <c r="F16" s="156">
        <f t="shared" si="3"/>
        <v>0</v>
      </c>
      <c r="G16" s="193">
        <f t="shared" ref="G16:H16" si="17">G15+G14+G13</f>
        <v>50284.50552316659</v>
      </c>
      <c r="H16" s="193">
        <f t="shared" si="17"/>
        <v>29928.615359813099</v>
      </c>
      <c r="I16" s="193">
        <f t="shared" si="5"/>
        <v>-20355.890163353492</v>
      </c>
      <c r="J16" s="156">
        <f t="shared" si="6"/>
        <v>-0.40481436481413391</v>
      </c>
      <c r="K16" s="194"/>
      <c r="L16" s="195"/>
      <c r="M16" s="195"/>
      <c r="N16" s="195"/>
      <c r="O16" s="195">
        <f t="shared" ref="O16:Q16" si="18">O15+O14+O13</f>
        <v>1.5264023771364255</v>
      </c>
      <c r="P16" s="195">
        <f t="shared" si="18"/>
        <v>1.5664647436910157</v>
      </c>
      <c r="Q16" s="195">
        <f t="shared" si="18"/>
        <v>4.0062366554590445E-2</v>
      </c>
      <c r="R16" s="160">
        <f t="shared" si="9"/>
        <v>2.6246268451015249E-2</v>
      </c>
      <c r="S16" s="171"/>
    </row>
    <row r="19" spans="3:38" ht="18">
      <c r="C19" s="197" t="s">
        <v>307</v>
      </c>
      <c r="D19" s="141"/>
      <c r="E19" s="141"/>
      <c r="F19" s="141"/>
      <c r="G19" s="141"/>
      <c r="H19" s="141"/>
      <c r="I19" s="141"/>
      <c r="J19" s="141"/>
      <c r="K19" s="141"/>
      <c r="L19" s="142"/>
      <c r="M19" s="142"/>
      <c r="N19" s="142"/>
      <c r="O19" s="142"/>
      <c r="P19" s="142"/>
      <c r="Q19" s="141"/>
      <c r="R19" s="141"/>
      <c r="S19" s="141"/>
      <c r="T19" s="143"/>
      <c r="U19" s="143"/>
      <c r="V19" s="143"/>
      <c r="W19" s="143"/>
      <c r="X19" s="143"/>
      <c r="Y19" s="143"/>
      <c r="Z19" s="143"/>
      <c r="AA19" s="143"/>
      <c r="AB19" s="143"/>
      <c r="AC19" s="144"/>
      <c r="AD19" s="144"/>
      <c r="AE19" s="144"/>
      <c r="AF19" s="145" t="s">
        <v>308</v>
      </c>
      <c r="AG19" s="144"/>
      <c r="AH19" s="144"/>
      <c r="AI19" s="144"/>
      <c r="AJ19" s="144"/>
      <c r="AK19" s="144"/>
      <c r="AL19" s="144"/>
    </row>
    <row r="20" spans="3:38" ht="18">
      <c r="C20" s="1423" t="s">
        <v>309</v>
      </c>
      <c r="D20" s="1424" t="s">
        <v>297</v>
      </c>
      <c r="E20" s="1425"/>
      <c r="F20" s="1426"/>
      <c r="G20" s="1427" t="s">
        <v>255</v>
      </c>
      <c r="H20" s="1428"/>
      <c r="I20" s="1428"/>
      <c r="J20" s="1428"/>
      <c r="K20" s="1428"/>
      <c r="L20" s="1428"/>
      <c r="M20" s="1428"/>
      <c r="N20" s="1429"/>
      <c r="O20" s="1430" t="s">
        <v>298</v>
      </c>
      <c r="P20" s="1425"/>
      <c r="Q20" s="1425"/>
      <c r="R20" s="1425"/>
      <c r="S20" s="1426"/>
      <c r="T20" s="149"/>
      <c r="U20" s="143"/>
      <c r="V20" s="143"/>
      <c r="W20" s="143"/>
      <c r="X20" s="143"/>
      <c r="Y20" s="143"/>
      <c r="Z20" s="143"/>
      <c r="AA20" s="143"/>
      <c r="AB20" s="143"/>
      <c r="AC20" s="144"/>
      <c r="AD20" s="144"/>
      <c r="AE20" s="144"/>
      <c r="AF20" s="198" t="s">
        <v>310</v>
      </c>
      <c r="AG20" s="199">
        <v>2022</v>
      </c>
      <c r="AH20" s="200" t="s">
        <v>311</v>
      </c>
      <c r="AI20" s="199">
        <v>2021</v>
      </c>
      <c r="AJ20" s="200" t="s">
        <v>312</v>
      </c>
      <c r="AK20" s="201" t="s">
        <v>313</v>
      </c>
      <c r="AL20" s="202" t="s">
        <v>314</v>
      </c>
    </row>
    <row r="21" spans="3:38" ht="17.399999999999999">
      <c r="C21" s="1403"/>
      <c r="D21" s="203">
        <v>2021</v>
      </c>
      <c r="E21" s="203">
        <v>2022</v>
      </c>
      <c r="F21" s="203" t="s">
        <v>299</v>
      </c>
      <c r="G21" s="204">
        <v>2021</v>
      </c>
      <c r="H21" s="203">
        <v>2022</v>
      </c>
      <c r="I21" s="203" t="s">
        <v>299</v>
      </c>
      <c r="J21" s="203" t="s">
        <v>300</v>
      </c>
      <c r="K21" s="205" t="s">
        <v>301</v>
      </c>
      <c r="L21" s="206" t="s">
        <v>315</v>
      </c>
      <c r="M21" s="206" t="s">
        <v>316</v>
      </c>
      <c r="N21" s="207" t="s">
        <v>317</v>
      </c>
      <c r="O21" s="208">
        <v>2021</v>
      </c>
      <c r="P21" s="151">
        <v>2022</v>
      </c>
      <c r="Q21" s="150" t="s">
        <v>299</v>
      </c>
      <c r="R21" s="209" t="s">
        <v>300</v>
      </c>
      <c r="S21" s="209" t="s">
        <v>301</v>
      </c>
      <c r="T21" s="149"/>
      <c r="U21" s="143"/>
      <c r="V21" s="143"/>
      <c r="W21" s="143"/>
      <c r="X21" s="143"/>
      <c r="Y21" s="143"/>
      <c r="Z21" s="143"/>
      <c r="AA21" s="143"/>
      <c r="AB21" s="143"/>
      <c r="AC21" s="144"/>
      <c r="AD21" s="144"/>
      <c r="AE21" s="144"/>
      <c r="AF21" s="210" t="s">
        <v>262</v>
      </c>
      <c r="AG21" s="211">
        <f t="shared" ref="AG21:AG30" si="19">H22/$H$31</f>
        <v>0.23204497774687852</v>
      </c>
      <c r="AH21" s="212">
        <f t="shared" ref="AH21:AH30" si="20">H22* 1000/$P$7</f>
        <v>0.36349027659105154</v>
      </c>
      <c r="AI21" s="211">
        <f t="shared" ref="AI21:AI30" si="21">D22</f>
        <v>0.20084796890082351</v>
      </c>
      <c r="AJ21" s="213">
        <f t="shared" ref="AJ21:AJ28" si="22">G22*1000/$O$7</f>
        <v>0.30657481717323987</v>
      </c>
      <c r="AK21" s="181">
        <f t="shared" ref="AK21:AK30" si="23">H22</f>
        <v>6944.7848851627168</v>
      </c>
      <c r="AL21" s="214">
        <f t="shared" ref="AL21:AL30" si="24">G22</f>
        <v>10099.540801510251</v>
      </c>
    </row>
    <row r="22" spans="3:38" ht="52.2">
      <c r="C22" s="215" t="s">
        <v>262</v>
      </c>
      <c r="D22" s="216">
        <f t="shared" ref="D22:D31" si="25">G22/$G$31</f>
        <v>0.20084796890082351</v>
      </c>
      <c r="E22" s="217">
        <f t="shared" ref="E22:E31" si="26">H22/$H$31</f>
        <v>0.23204497774687852</v>
      </c>
      <c r="F22" s="216">
        <f t="shared" ref="F22:F30" si="27">E22-D22</f>
        <v>3.1197008846055002E-2</v>
      </c>
      <c r="G22" s="218">
        <f t="shared" ref="G22:H22" si="28">G37</f>
        <v>10099.540801510251</v>
      </c>
      <c r="H22" s="219">
        <f t="shared" si="28"/>
        <v>6944.7848851627168</v>
      </c>
      <c r="I22" s="219">
        <f t="shared" ref="I22:I31" si="29">-G22+H22</f>
        <v>-3154.7559163475344</v>
      </c>
      <c r="J22" s="220">
        <f t="shared" ref="J22:J31" si="30">I22/G22</f>
        <v>-0.3123662727196253</v>
      </c>
      <c r="K22" s="221" t="s">
        <v>318</v>
      </c>
      <c r="L22" s="222">
        <f t="shared" ref="L22:L24" si="31">I22-M22</f>
        <v>-3060.1132388571082</v>
      </c>
      <c r="M22" s="222">
        <f>0.03*I22</f>
        <v>-94.642677490426024</v>
      </c>
      <c r="N22" s="223"/>
      <c r="O22" s="224">
        <f t="shared" ref="O22:O31" si="32">G22*1000/$O$7</f>
        <v>0.30657481717323987</v>
      </c>
      <c r="P22" s="225">
        <f t="shared" ref="P22:P31" si="33">H22*1000/$P$7</f>
        <v>0.36349027659105154</v>
      </c>
      <c r="Q22" s="226">
        <f t="shared" ref="Q22:Q31" si="34">-O22+P22</f>
        <v>5.6915459417811676E-2</v>
      </c>
      <c r="R22" s="220">
        <f t="shared" ref="R22:R31" si="35">Q22/O22</f>
        <v>0.18564949314036377</v>
      </c>
      <c r="S22" s="227" t="s">
        <v>319</v>
      </c>
      <c r="T22" s="228"/>
      <c r="U22" s="229"/>
      <c r="V22" s="229"/>
      <c r="W22" s="229"/>
      <c r="X22" s="229"/>
      <c r="Y22" s="229"/>
      <c r="Z22" s="229"/>
      <c r="AA22" s="229"/>
      <c r="AB22" s="229"/>
      <c r="AC22" s="230"/>
      <c r="AD22" s="230"/>
      <c r="AE22" s="230"/>
      <c r="AF22" s="231" t="s">
        <v>83</v>
      </c>
      <c r="AG22" s="232">
        <f t="shared" si="19"/>
        <v>0.22683976249419099</v>
      </c>
      <c r="AH22" s="233">
        <f t="shared" si="20"/>
        <v>0.35533649041439386</v>
      </c>
      <c r="AI22" s="232">
        <f t="shared" si="21"/>
        <v>0.2040166403693951</v>
      </c>
      <c r="AJ22" s="234">
        <f t="shared" si="22"/>
        <v>0.3114114848352319</v>
      </c>
      <c r="AK22" s="235">
        <f t="shared" si="23"/>
        <v>6789</v>
      </c>
      <c r="AL22" s="236">
        <f t="shared" si="24"/>
        <v>10258.87587947274</v>
      </c>
    </row>
    <row r="23" spans="3:38" ht="34.799999999999997">
      <c r="C23" s="237" t="s">
        <v>83</v>
      </c>
      <c r="D23" s="216">
        <f t="shared" si="25"/>
        <v>0.2040166403693951</v>
      </c>
      <c r="E23" s="217">
        <f t="shared" si="26"/>
        <v>0.22683976249419099</v>
      </c>
      <c r="F23" s="216">
        <f t="shared" si="27"/>
        <v>2.2823122124795897E-2</v>
      </c>
      <c r="G23" s="238">
        <f t="shared" ref="G23:H23" si="36">G38</f>
        <v>10258.87587947274</v>
      </c>
      <c r="H23" s="219">
        <f t="shared" si="36"/>
        <v>6789</v>
      </c>
      <c r="I23" s="219">
        <f t="shared" si="29"/>
        <v>-3469.8758794727401</v>
      </c>
      <c r="J23" s="220">
        <f t="shared" si="30"/>
        <v>-0.3382315879672263</v>
      </c>
      <c r="K23" s="239" t="s">
        <v>320</v>
      </c>
      <c r="L23" s="240">
        <f t="shared" si="31"/>
        <v>-2485.8758794727401</v>
      </c>
      <c r="M23" s="240">
        <v>-984</v>
      </c>
      <c r="N23" s="241"/>
      <c r="O23" s="242">
        <f t="shared" si="32"/>
        <v>0.3114114848352319</v>
      </c>
      <c r="P23" s="225">
        <f t="shared" si="33"/>
        <v>0.35533649041439386</v>
      </c>
      <c r="Q23" s="226">
        <f t="shared" si="34"/>
        <v>4.3925005579161958E-2</v>
      </c>
      <c r="R23" s="243">
        <f t="shared" si="35"/>
        <v>0.14105133470720491</v>
      </c>
      <c r="S23" s="244" t="s">
        <v>321</v>
      </c>
      <c r="T23" s="228"/>
      <c r="U23" s="229"/>
      <c r="V23" s="229"/>
      <c r="W23" s="229"/>
      <c r="X23" s="229"/>
      <c r="Y23" s="229"/>
      <c r="Z23" s="229"/>
      <c r="AA23" s="229"/>
      <c r="AB23" s="229"/>
      <c r="AC23" s="230"/>
      <c r="AD23" s="230"/>
      <c r="AE23" s="230"/>
      <c r="AF23" s="231" t="s">
        <v>269</v>
      </c>
      <c r="AG23" s="232">
        <f t="shared" si="19"/>
        <v>0.14565576089823587</v>
      </c>
      <c r="AH23" s="233">
        <f t="shared" si="20"/>
        <v>0.22816461416257497</v>
      </c>
      <c r="AI23" s="232">
        <f t="shared" si="21"/>
        <v>0.2195902592883715</v>
      </c>
      <c r="AJ23" s="234">
        <f t="shared" si="22"/>
        <v>0.33518309377377431</v>
      </c>
      <c r="AK23" s="235">
        <f t="shared" si="23"/>
        <v>4359.2752428642061</v>
      </c>
      <c r="AL23" s="236">
        <f t="shared" si="24"/>
        <v>11041.9876060197</v>
      </c>
    </row>
    <row r="24" spans="3:38" ht="34.799999999999997">
      <c r="C24" s="237" t="s">
        <v>269</v>
      </c>
      <c r="D24" s="216">
        <f t="shared" si="25"/>
        <v>0.2195902592883715</v>
      </c>
      <c r="E24" s="217">
        <f t="shared" si="26"/>
        <v>0.14565576089823587</v>
      </c>
      <c r="F24" s="216">
        <f t="shared" si="27"/>
        <v>-7.3934498390135633E-2</v>
      </c>
      <c r="G24" s="238">
        <f t="shared" ref="G24:H24" si="37">G39</f>
        <v>11041.9876060197</v>
      </c>
      <c r="H24" s="219">
        <f t="shared" si="37"/>
        <v>4359.2752428642061</v>
      </c>
      <c r="I24" s="219">
        <f t="shared" si="29"/>
        <v>-6682.7123631554941</v>
      </c>
      <c r="J24" s="220">
        <f t="shared" si="30"/>
        <v>-0.60520918892467479</v>
      </c>
      <c r="K24" s="239" t="s">
        <v>322</v>
      </c>
      <c r="L24" s="240">
        <f t="shared" si="31"/>
        <v>-5947.6140032083895</v>
      </c>
      <c r="M24" s="240">
        <f>0.11*I24</f>
        <v>-735.09835994710431</v>
      </c>
      <c r="N24" s="241"/>
      <c r="O24" s="242">
        <f t="shared" si="32"/>
        <v>0.33518309377377431</v>
      </c>
      <c r="P24" s="225">
        <f t="shared" si="33"/>
        <v>0.22816461416257497</v>
      </c>
      <c r="Q24" s="226">
        <f t="shared" si="34"/>
        <v>-0.10701847961119934</v>
      </c>
      <c r="R24" s="243">
        <f t="shared" si="35"/>
        <v>-0.31928364407134896</v>
      </c>
      <c r="S24" s="244" t="s">
        <v>323</v>
      </c>
      <c r="T24" s="228"/>
      <c r="U24" s="229"/>
      <c r="V24" s="229"/>
      <c r="W24" s="229"/>
      <c r="X24" s="229"/>
      <c r="Y24" s="229"/>
      <c r="Z24" s="229"/>
      <c r="AA24" s="229"/>
      <c r="AB24" s="229"/>
      <c r="AC24" s="230"/>
      <c r="AD24" s="230"/>
      <c r="AE24" s="230"/>
      <c r="AF24" s="231" t="s">
        <v>273</v>
      </c>
      <c r="AG24" s="232">
        <f t="shared" si="19"/>
        <v>0.13833596988660452</v>
      </c>
      <c r="AH24" s="233">
        <f t="shared" si="20"/>
        <v>0.21669841961166805</v>
      </c>
      <c r="AI24" s="232">
        <f t="shared" si="21"/>
        <v>0.13156093588996384</v>
      </c>
      <c r="AJ24" s="234">
        <f t="shared" si="22"/>
        <v>0.20081492528073369</v>
      </c>
      <c r="AK24" s="235">
        <f t="shared" si="23"/>
        <v>4140.2040331628741</v>
      </c>
      <c r="AL24" s="236">
        <f t="shared" si="24"/>
        <v>6615.4766073918527</v>
      </c>
    </row>
    <row r="25" spans="3:38" ht="52.2">
      <c r="C25" s="237" t="s">
        <v>273</v>
      </c>
      <c r="D25" s="216">
        <f t="shared" si="25"/>
        <v>0.13156093588996384</v>
      </c>
      <c r="E25" s="217">
        <f t="shared" si="26"/>
        <v>0.13833596988660452</v>
      </c>
      <c r="F25" s="216">
        <f t="shared" si="27"/>
        <v>6.7750339966406725E-3</v>
      </c>
      <c r="G25" s="238">
        <f t="shared" ref="G25:H25" si="38">G40</f>
        <v>6615.4766073918527</v>
      </c>
      <c r="H25" s="219">
        <f t="shared" si="38"/>
        <v>4140.2040331628741</v>
      </c>
      <c r="I25" s="219">
        <f t="shared" si="29"/>
        <v>-2475.2725742289786</v>
      </c>
      <c r="J25" s="220">
        <f t="shared" si="30"/>
        <v>-0.37416390702118335</v>
      </c>
      <c r="K25" s="239" t="s">
        <v>324</v>
      </c>
      <c r="L25" s="240">
        <f>0.08*I25</f>
        <v>-198.02180593831829</v>
      </c>
      <c r="M25" s="240" t="s">
        <v>325</v>
      </c>
      <c r="N25" s="241">
        <f>I25-L25</f>
        <v>-2277.2507682906603</v>
      </c>
      <c r="O25" s="242">
        <f t="shared" si="32"/>
        <v>0.20081492528073369</v>
      </c>
      <c r="P25" s="225">
        <f t="shared" si="33"/>
        <v>0.21669841961166805</v>
      </c>
      <c r="Q25" s="226">
        <f t="shared" si="34"/>
        <v>1.5883494330934361E-2</v>
      </c>
      <c r="R25" s="220">
        <f t="shared" si="35"/>
        <v>7.9095188311972708E-2</v>
      </c>
      <c r="S25" s="245" t="s">
        <v>326</v>
      </c>
      <c r="T25" s="228"/>
      <c r="U25" s="229"/>
      <c r="V25" s="229"/>
      <c r="W25" s="229"/>
      <c r="X25" s="229"/>
      <c r="Y25" s="229"/>
      <c r="Z25" s="229"/>
      <c r="AA25" s="229"/>
      <c r="AB25" s="229"/>
      <c r="AC25" s="230"/>
      <c r="AD25" s="230"/>
      <c r="AE25" s="230"/>
      <c r="AF25" s="231" t="s">
        <v>274</v>
      </c>
      <c r="AG25" s="232">
        <f t="shared" si="19"/>
        <v>0.1085249003654636</v>
      </c>
      <c r="AH25" s="233">
        <f t="shared" si="20"/>
        <v>0.17000043023507899</v>
      </c>
      <c r="AI25" s="232">
        <f t="shared" si="21"/>
        <v>8.7986718860529944E-2</v>
      </c>
      <c r="AJ25" s="234">
        <f t="shared" si="22"/>
        <v>0.13430313682514727</v>
      </c>
      <c r="AK25" s="235">
        <f t="shared" si="23"/>
        <v>3248</v>
      </c>
      <c r="AL25" s="236">
        <f t="shared" si="24"/>
        <v>4424.3686505076239</v>
      </c>
    </row>
    <row r="26" spans="3:38" ht="34.799999999999997">
      <c r="C26" s="237" t="s">
        <v>242</v>
      </c>
      <c r="D26" s="216">
        <f t="shared" si="25"/>
        <v>8.7986718860529944E-2</v>
      </c>
      <c r="E26" s="217">
        <f t="shared" si="26"/>
        <v>0.1085249003654636</v>
      </c>
      <c r="F26" s="216">
        <f t="shared" si="27"/>
        <v>2.0538181504933653E-2</v>
      </c>
      <c r="G26" s="238">
        <f t="shared" ref="G26:H26" si="39">G41</f>
        <v>4424.3686505076239</v>
      </c>
      <c r="H26" s="219">
        <f t="shared" si="39"/>
        <v>3248</v>
      </c>
      <c r="I26" s="219">
        <f t="shared" si="29"/>
        <v>-1176.3686505076239</v>
      </c>
      <c r="J26" s="220">
        <f t="shared" si="30"/>
        <v>-0.26588395846549878</v>
      </c>
      <c r="K26" s="239" t="s">
        <v>327</v>
      </c>
      <c r="L26" s="240">
        <f>I26</f>
        <v>-1176.3686505076239</v>
      </c>
      <c r="M26" s="240"/>
      <c r="N26" s="241"/>
      <c r="O26" s="242">
        <f t="shared" si="32"/>
        <v>0.13430313682514727</v>
      </c>
      <c r="P26" s="225">
        <f t="shared" si="33"/>
        <v>0.17000043023507899</v>
      </c>
      <c r="Q26" s="226">
        <f t="shared" si="34"/>
        <v>3.5697293409931719E-2</v>
      </c>
      <c r="R26" s="220">
        <f t="shared" si="35"/>
        <v>0.26579642332857012</v>
      </c>
      <c r="S26" s="245" t="s">
        <v>328</v>
      </c>
      <c r="T26" s="228"/>
      <c r="U26" s="229"/>
      <c r="V26" s="229"/>
      <c r="W26" s="229"/>
      <c r="X26" s="229"/>
      <c r="Y26" s="229"/>
      <c r="Z26" s="229"/>
      <c r="AA26" s="229"/>
      <c r="AB26" s="229"/>
      <c r="AC26" s="230"/>
      <c r="AD26" s="230"/>
      <c r="AE26" s="230"/>
      <c r="AF26" s="231" t="s">
        <v>247</v>
      </c>
      <c r="AG26" s="232">
        <f t="shared" si="19"/>
        <v>4.4899380468372697E-2</v>
      </c>
      <c r="AH26" s="233">
        <f t="shared" si="20"/>
        <v>7.0333296517274851E-2</v>
      </c>
      <c r="AI26" s="232">
        <f t="shared" si="21"/>
        <v>3.7659299230605958E-2</v>
      </c>
      <c r="AJ26" s="234">
        <f t="shared" si="22"/>
        <v>5.7483243866888897E-2</v>
      </c>
      <c r="AK26" s="235">
        <f t="shared" si="23"/>
        <v>1343.7762879318313</v>
      </c>
      <c r="AL26" s="236">
        <f t="shared" si="24"/>
        <v>1893.6792401599887</v>
      </c>
    </row>
    <row r="27" spans="3:38" ht="52.2">
      <c r="C27" s="237" t="s">
        <v>247</v>
      </c>
      <c r="D27" s="216">
        <f t="shared" si="25"/>
        <v>3.7659299230605958E-2</v>
      </c>
      <c r="E27" s="217">
        <f t="shared" si="26"/>
        <v>4.4899380468372697E-2</v>
      </c>
      <c r="F27" s="216">
        <f t="shared" si="27"/>
        <v>7.2400812377667392E-3</v>
      </c>
      <c r="G27" s="238">
        <f t="shared" ref="G27:H27" si="40">G42+G43</f>
        <v>1893.6792401599887</v>
      </c>
      <c r="H27" s="219">
        <f t="shared" si="40"/>
        <v>1343.7762879318313</v>
      </c>
      <c r="I27" s="219">
        <f t="shared" si="29"/>
        <v>-549.90295222815735</v>
      </c>
      <c r="J27" s="220">
        <f t="shared" si="30"/>
        <v>-0.29038864690817356</v>
      </c>
      <c r="K27" s="239" t="s">
        <v>329</v>
      </c>
      <c r="L27" s="240">
        <f>I27-N27</f>
        <v>-450.92042082708906</v>
      </c>
      <c r="M27" s="240"/>
      <c r="N27" s="241">
        <f>0.18*I27</f>
        <v>-98.982531401068314</v>
      </c>
      <c r="O27" s="242">
        <f t="shared" si="32"/>
        <v>5.7483243866888897E-2</v>
      </c>
      <c r="P27" s="225">
        <f t="shared" si="33"/>
        <v>7.0333296517274851E-2</v>
      </c>
      <c r="Q27" s="226">
        <f t="shared" si="34"/>
        <v>1.2850052650385954E-2</v>
      </c>
      <c r="R27" s="220">
        <f t="shared" si="35"/>
        <v>0.22354431980460576</v>
      </c>
      <c r="S27" s="245" t="s">
        <v>330</v>
      </c>
      <c r="T27" s="228"/>
      <c r="U27" s="229"/>
      <c r="V27" s="229"/>
      <c r="W27" s="229"/>
      <c r="X27" s="229"/>
      <c r="Y27" s="229"/>
      <c r="Z27" s="229"/>
      <c r="AA27" s="229"/>
      <c r="AB27" s="229"/>
      <c r="AC27" s="230"/>
      <c r="AD27" s="230"/>
      <c r="AE27" s="230"/>
      <c r="AF27" s="231" t="s">
        <v>282</v>
      </c>
      <c r="AG27" s="232">
        <f t="shared" si="19"/>
        <v>5.0758286540690506E-2</v>
      </c>
      <c r="AH27" s="233">
        <f t="shared" si="20"/>
        <v>7.9511066316157897E-2</v>
      </c>
      <c r="AI27" s="232">
        <f t="shared" si="21"/>
        <v>8.3927661081068111E-2</v>
      </c>
      <c r="AJ27" s="234">
        <f t="shared" si="22"/>
        <v>0.12810738138164263</v>
      </c>
      <c r="AK27" s="235">
        <f t="shared" si="23"/>
        <v>1519.1252341995043</v>
      </c>
      <c r="AL27" s="236">
        <f t="shared" si="24"/>
        <v>4220.2609371774233</v>
      </c>
    </row>
    <row r="28" spans="3:38" ht="34.799999999999997">
      <c r="C28" s="237" t="s">
        <v>282</v>
      </c>
      <c r="D28" s="216">
        <f t="shared" si="25"/>
        <v>8.3927661081068111E-2</v>
      </c>
      <c r="E28" s="217">
        <f t="shared" si="26"/>
        <v>5.0758286540690506E-2</v>
      </c>
      <c r="F28" s="216">
        <f t="shared" si="27"/>
        <v>-3.3169374540377605E-2</v>
      </c>
      <c r="G28" s="246">
        <f>'8. Insumos y Empaque'!L62</f>
        <v>4220.2609371774233</v>
      </c>
      <c r="H28" s="240">
        <f>H45+H46+H44</f>
        <v>1519.1252341995043</v>
      </c>
      <c r="I28" s="219">
        <f t="shared" si="29"/>
        <v>-2701.1357029779192</v>
      </c>
      <c r="J28" s="220">
        <f t="shared" si="30"/>
        <v>-0.64003997458614048</v>
      </c>
      <c r="K28" s="239" t="s">
        <v>331</v>
      </c>
      <c r="L28" s="240">
        <f>I28-M28</f>
        <v>-2214.9312764418937</v>
      </c>
      <c r="M28" s="240">
        <f>0.18*I28</f>
        <v>-486.20442653602544</v>
      </c>
      <c r="N28" s="241"/>
      <c r="O28" s="242">
        <f t="shared" si="32"/>
        <v>0.12810738138164263</v>
      </c>
      <c r="P28" s="225">
        <f t="shared" si="33"/>
        <v>7.9511066316157897E-2</v>
      </c>
      <c r="Q28" s="226">
        <f t="shared" si="34"/>
        <v>-4.859631506548473E-2</v>
      </c>
      <c r="R28" s="220">
        <f t="shared" si="35"/>
        <v>-0.379340476258056</v>
      </c>
      <c r="S28" s="245" t="s">
        <v>332</v>
      </c>
      <c r="T28" s="228"/>
      <c r="U28" s="229"/>
      <c r="V28" s="229"/>
      <c r="W28" s="229"/>
      <c r="X28" s="229"/>
      <c r="Y28" s="229"/>
      <c r="Z28" s="229"/>
      <c r="AA28" s="229"/>
      <c r="AB28" s="229"/>
      <c r="AC28" s="230"/>
      <c r="AD28" s="230"/>
      <c r="AE28" s="230"/>
      <c r="AF28" s="231" t="s">
        <v>236</v>
      </c>
      <c r="AG28" s="232">
        <f t="shared" si="19"/>
        <v>1.0610400303969142E-2</v>
      </c>
      <c r="AH28" s="233">
        <f t="shared" si="20"/>
        <v>1.6620817992616103E-2</v>
      </c>
      <c r="AI28" s="232">
        <f t="shared" si="21"/>
        <v>1.08184418707145E-2</v>
      </c>
      <c r="AJ28" s="234">
        <f t="shared" si="22"/>
        <v>1.651329538837085E-2</v>
      </c>
      <c r="AK28" s="235">
        <f t="shared" si="23"/>
        <v>317.55458951113644</v>
      </c>
      <c r="AL28" s="247">
        <f t="shared" si="24"/>
        <v>544</v>
      </c>
    </row>
    <row r="29" spans="3:38" ht="52.2">
      <c r="C29" s="237" t="s">
        <v>236</v>
      </c>
      <c r="D29" s="216">
        <f t="shared" si="25"/>
        <v>1.08184418707145E-2</v>
      </c>
      <c r="E29" s="217">
        <f t="shared" si="26"/>
        <v>1.0610400303969142E-2</v>
      </c>
      <c r="F29" s="216">
        <f t="shared" si="27"/>
        <v>-2.0804156674535806E-4</v>
      </c>
      <c r="G29" s="248">
        <v>544</v>
      </c>
      <c r="H29" s="219">
        <f>H47</f>
        <v>317.55458951113644</v>
      </c>
      <c r="I29" s="219">
        <f t="shared" si="29"/>
        <v>-226.44541048886356</v>
      </c>
      <c r="J29" s="220">
        <f t="shared" si="30"/>
        <v>-0.41625994575158742</v>
      </c>
      <c r="K29" s="239" t="s">
        <v>333</v>
      </c>
      <c r="L29" s="240">
        <f>I29-N29</f>
        <v>-199.27196123019993</v>
      </c>
      <c r="M29" s="240"/>
      <c r="N29" s="241">
        <f>0.12*I29</f>
        <v>-27.173449258663627</v>
      </c>
      <c r="O29" s="242">
        <f t="shared" si="32"/>
        <v>1.651329538837085E-2</v>
      </c>
      <c r="P29" s="225">
        <f t="shared" si="33"/>
        <v>1.6620817992616103E-2</v>
      </c>
      <c r="Q29" s="226">
        <f t="shared" si="34"/>
        <v>1.0752260424525331E-4</v>
      </c>
      <c r="R29" s="220">
        <f t="shared" si="35"/>
        <v>6.5112748071456351E-3</v>
      </c>
      <c r="S29" s="245" t="s">
        <v>334</v>
      </c>
      <c r="T29" s="228"/>
      <c r="U29" s="229"/>
      <c r="V29" s="229"/>
      <c r="W29" s="229"/>
      <c r="X29" s="229"/>
      <c r="Y29" s="229"/>
      <c r="Z29" s="229"/>
      <c r="AA29" s="229"/>
      <c r="AB29" s="229"/>
      <c r="AC29" s="230"/>
      <c r="AD29" s="230"/>
      <c r="AE29" s="230"/>
      <c r="AF29" s="231" t="s">
        <v>294</v>
      </c>
      <c r="AG29" s="232">
        <f t="shared" si="19"/>
        <v>4.2330561295594177E-2</v>
      </c>
      <c r="AH29" s="233">
        <f t="shared" si="20"/>
        <v>6.6309331850199771E-2</v>
      </c>
      <c r="AI29" s="232">
        <f t="shared" si="21"/>
        <v>2.3592074508527534E-2</v>
      </c>
      <c r="AJ29" s="234">
        <f>G29*1000/$O$7</f>
        <v>1.651329538837085E-2</v>
      </c>
      <c r="AK29" s="235">
        <f t="shared" si="23"/>
        <v>1266.8950869808298</v>
      </c>
      <c r="AL29" s="236">
        <f t="shared" si="24"/>
        <v>1186.3158009270105</v>
      </c>
    </row>
    <row r="30" spans="3:38" ht="17.399999999999999">
      <c r="C30" s="249" t="s">
        <v>294</v>
      </c>
      <c r="D30" s="180">
        <f t="shared" si="25"/>
        <v>2.3592074508527534E-2</v>
      </c>
      <c r="E30" s="250">
        <f t="shared" si="26"/>
        <v>4.2330561295594177E-2</v>
      </c>
      <c r="F30" s="180">
        <f t="shared" si="27"/>
        <v>1.8738486787066643E-2</v>
      </c>
      <c r="G30" s="251">
        <v>1186.3158009270105</v>
      </c>
      <c r="H30" s="181">
        <f>H51+H50+H48+H49</f>
        <v>1266.8950869808298</v>
      </c>
      <c r="I30" s="181">
        <f t="shared" si="29"/>
        <v>80.57928605381926</v>
      </c>
      <c r="J30" s="252">
        <f t="shared" si="30"/>
        <v>6.7923976053301333E-2</v>
      </c>
      <c r="K30" s="253"/>
      <c r="L30" s="251"/>
      <c r="M30" s="181">
        <f>I30</f>
        <v>80.57928605381926</v>
      </c>
      <c r="N30" s="214"/>
      <c r="O30" s="254">
        <f t="shared" si="32"/>
        <v>3.6010998611396096E-2</v>
      </c>
      <c r="P30" s="255">
        <f t="shared" si="33"/>
        <v>6.6309331850199771E-2</v>
      </c>
      <c r="Q30" s="256">
        <f t="shared" si="34"/>
        <v>3.0298333238803675E-2</v>
      </c>
      <c r="R30" s="250">
        <f t="shared" si="35"/>
        <v>0.84136331696215216</v>
      </c>
      <c r="S30" s="257"/>
      <c r="T30" s="149"/>
      <c r="U30" s="143"/>
      <c r="V30" s="143"/>
      <c r="W30" s="143"/>
      <c r="X30" s="143"/>
      <c r="Y30" s="143"/>
      <c r="Z30" s="143"/>
      <c r="AA30" s="143"/>
      <c r="AB30" s="143"/>
      <c r="AC30" s="144"/>
      <c r="AD30" s="144"/>
      <c r="AE30" s="144"/>
      <c r="AF30" s="258" t="s">
        <v>39</v>
      </c>
      <c r="AG30" s="259">
        <f t="shared" si="19"/>
        <v>1</v>
      </c>
      <c r="AH30" s="260">
        <f t="shared" si="20"/>
        <v>1.566464743691016</v>
      </c>
      <c r="AI30" s="259">
        <f t="shared" si="21"/>
        <v>1</v>
      </c>
      <c r="AJ30" s="261">
        <f>G31*1000/$O$7</f>
        <v>1.5264023771364255</v>
      </c>
      <c r="AK30" s="262">
        <f t="shared" si="23"/>
        <v>29928.615359813099</v>
      </c>
      <c r="AL30" s="263">
        <f t="shared" si="24"/>
        <v>50284.50552316659</v>
      </c>
    </row>
    <row r="31" spans="3:38" ht="17.399999999999999">
      <c r="C31" s="264" t="s">
        <v>39</v>
      </c>
      <c r="D31" s="265">
        <f t="shared" si="25"/>
        <v>1</v>
      </c>
      <c r="E31" s="266">
        <f t="shared" si="26"/>
        <v>1</v>
      </c>
      <c r="F31" s="265">
        <f t="shared" ref="F31:H31" si="41">SUM(F22:F30)</f>
        <v>0</v>
      </c>
      <c r="G31" s="267">
        <f t="shared" si="41"/>
        <v>50284.50552316659</v>
      </c>
      <c r="H31" s="268">
        <f t="shared" si="41"/>
        <v>29928.615359813099</v>
      </c>
      <c r="I31" s="268">
        <f t="shared" si="29"/>
        <v>-20355.890163353492</v>
      </c>
      <c r="J31" s="266">
        <f t="shared" si="30"/>
        <v>-0.40481436481413391</v>
      </c>
      <c r="K31" s="269"/>
      <c r="L31" s="267">
        <f t="shared" ref="L31:N31" si="42">SUM(L22:L30)</f>
        <v>-15733.117236483364</v>
      </c>
      <c r="M31" s="268">
        <f t="shared" si="42"/>
        <v>-2219.3661779197364</v>
      </c>
      <c r="N31" s="268">
        <f t="shared" si="42"/>
        <v>-2403.4067489503923</v>
      </c>
      <c r="O31" s="270">
        <f t="shared" si="32"/>
        <v>1.5264023771364255</v>
      </c>
      <c r="P31" s="271">
        <f t="shared" si="33"/>
        <v>1.566464743691016</v>
      </c>
      <c r="Q31" s="272">
        <f t="shared" si="34"/>
        <v>4.0062366554590501E-2</v>
      </c>
      <c r="R31" s="266">
        <f t="shared" si="35"/>
        <v>2.6246268451015287E-2</v>
      </c>
      <c r="S31" s="273"/>
      <c r="T31" s="149"/>
      <c r="U31" s="143"/>
      <c r="V31" s="143"/>
      <c r="W31" s="143"/>
      <c r="X31" s="143"/>
      <c r="Y31" s="143"/>
      <c r="Z31" s="143"/>
      <c r="AA31" s="143"/>
      <c r="AB31" s="143"/>
      <c r="AC31" s="144"/>
      <c r="AD31" s="144"/>
      <c r="AE31" s="144"/>
      <c r="AF31" s="144"/>
      <c r="AG31" s="144"/>
      <c r="AH31" s="144"/>
      <c r="AI31" s="144"/>
      <c r="AJ31" s="144"/>
      <c r="AK31" s="144"/>
      <c r="AL31" s="144"/>
    </row>
    <row r="32" spans="3:38" ht="17.399999999999999">
      <c r="C32" s="274"/>
      <c r="D32" s="275"/>
      <c r="E32" s="275"/>
      <c r="F32" s="196"/>
      <c r="G32" s="275"/>
      <c r="H32" s="275"/>
      <c r="I32" s="275"/>
      <c r="J32" s="196"/>
      <c r="K32" s="276"/>
      <c r="L32" s="277">
        <f>L31/I31</f>
        <v>0.77290244298957456</v>
      </c>
      <c r="M32" s="278">
        <f>M31/I31</f>
        <v>0.10902820560091445</v>
      </c>
      <c r="N32" s="279">
        <f>N31/I31</f>
        <v>0.11806935140951103</v>
      </c>
      <c r="O32" s="280"/>
      <c r="P32" s="163"/>
      <c r="Q32" s="162"/>
      <c r="R32" s="162"/>
      <c r="S32" s="162"/>
      <c r="T32" s="143"/>
      <c r="U32" s="143"/>
      <c r="V32" s="143"/>
      <c r="W32" s="143"/>
      <c r="X32" s="143"/>
      <c r="Y32" s="143"/>
      <c r="Z32" s="143"/>
      <c r="AA32" s="143"/>
      <c r="AB32" s="143"/>
      <c r="AC32" s="144"/>
      <c r="AD32" s="144"/>
      <c r="AE32" s="144"/>
      <c r="AF32" s="144"/>
      <c r="AG32" s="144"/>
      <c r="AH32" s="144"/>
      <c r="AI32" s="144"/>
      <c r="AJ32" s="144"/>
      <c r="AK32" s="144"/>
      <c r="AL32" s="144"/>
    </row>
    <row r="34" spans="3:19" ht="18">
      <c r="C34" s="281" t="s">
        <v>335</v>
      </c>
      <c r="D34" s="141"/>
      <c r="E34" s="141"/>
      <c r="F34" s="141"/>
      <c r="G34" s="141"/>
      <c r="H34" s="141"/>
      <c r="I34" s="141"/>
      <c r="J34" s="141"/>
      <c r="K34" s="141"/>
      <c r="L34" s="142"/>
      <c r="M34" s="142"/>
      <c r="N34" s="142"/>
      <c r="O34" s="142"/>
      <c r="P34" s="142"/>
      <c r="Q34" s="142"/>
      <c r="R34" s="142"/>
      <c r="S34" s="142"/>
    </row>
    <row r="35" spans="3:19" ht="18">
      <c r="C35" s="1413" t="s">
        <v>336</v>
      </c>
      <c r="D35" s="1431" t="s">
        <v>297</v>
      </c>
      <c r="E35" s="1425"/>
      <c r="F35" s="1426"/>
      <c r="G35" s="1432" t="s">
        <v>255</v>
      </c>
      <c r="H35" s="1428"/>
      <c r="I35" s="1428"/>
      <c r="J35" s="1428"/>
      <c r="K35" s="1429"/>
      <c r="L35" s="282"/>
      <c r="M35" s="282"/>
      <c r="N35" s="282"/>
      <c r="O35" s="1430" t="s">
        <v>298</v>
      </c>
      <c r="P35" s="1425"/>
      <c r="Q35" s="1425"/>
      <c r="R35" s="1425"/>
      <c r="S35" s="1426"/>
    </row>
    <row r="36" spans="3:19" ht="17.399999999999999">
      <c r="C36" s="1403"/>
      <c r="D36" s="150">
        <v>2021</v>
      </c>
      <c r="E36" s="150">
        <v>2022</v>
      </c>
      <c r="F36" s="150" t="s">
        <v>299</v>
      </c>
      <c r="G36" s="283">
        <v>2021</v>
      </c>
      <c r="H36" s="150">
        <v>2022</v>
      </c>
      <c r="I36" s="150" t="s">
        <v>299</v>
      </c>
      <c r="J36" s="150" t="s">
        <v>300</v>
      </c>
      <c r="K36" s="284" t="s">
        <v>301</v>
      </c>
      <c r="L36" s="285"/>
      <c r="M36" s="285"/>
      <c r="N36" s="285"/>
      <c r="O36" s="208">
        <v>2021</v>
      </c>
      <c r="P36" s="151">
        <v>2022</v>
      </c>
      <c r="Q36" s="151" t="s">
        <v>299</v>
      </c>
      <c r="R36" s="151" t="s">
        <v>300</v>
      </c>
      <c r="S36" s="151" t="s">
        <v>301</v>
      </c>
    </row>
    <row r="37" spans="3:19" ht="17.399999999999999">
      <c r="C37" s="286" t="s">
        <v>337</v>
      </c>
      <c r="D37" s="287">
        <f t="shared" ref="D37:D51" si="43">G37/$G$52</f>
        <v>0.20084990494445457</v>
      </c>
      <c r="E37" s="288">
        <f t="shared" ref="E37:E51" si="44">H37/$H$52</f>
        <v>0.23204497774687852</v>
      </c>
      <c r="F37" s="288">
        <f t="shared" ref="F37:F52" si="45">E37-D37</f>
        <v>3.1195072802423951E-2</v>
      </c>
      <c r="G37" s="289">
        <v>10099.540801510251</v>
      </c>
      <c r="H37" s="290">
        <f>'2. Distribución'!K16</f>
        <v>6944.7848851627168</v>
      </c>
      <c r="I37" s="235">
        <f t="shared" ref="I37:I51" si="46">+H37-G37</f>
        <v>-3154.7559163475344</v>
      </c>
      <c r="J37" s="288">
        <f t="shared" ref="J37:J52" si="47">I37/G37</f>
        <v>-0.3123662727196253</v>
      </c>
      <c r="K37" s="291" t="str">
        <f t="shared" ref="K37:K42" si="48">K22</f>
        <v>1) Optimizacion de capacidad de flota por menor demanda, sin embargo no es proporcional a la baja de demanda (-42%) por concentración de piezas (-27%) 
2) Mejora metodologica en incorporación de motos y limpieza de datos (-3%)
3) Incorporacion operacion de vehiculos elecltricos (-100 ton, -1%)</v>
      </c>
      <c r="L37" s="292"/>
      <c r="M37" s="292"/>
      <c r="N37" s="292"/>
      <c r="O37" s="293">
        <f t="shared" ref="O37:O51" si="49">+G37*1000/$O$7</f>
        <v>0.30657481717323987</v>
      </c>
      <c r="P37" s="294">
        <f t="shared" ref="P37:P51" si="50">+H37*1000/$P$7</f>
        <v>0.36349027659105154</v>
      </c>
      <c r="Q37" s="295">
        <f t="shared" ref="Q37:Q52" si="51">+P37-O37</f>
        <v>5.6915459417811676E-2</v>
      </c>
      <c r="R37" s="296">
        <f t="shared" ref="R37:R52" si="52">Q37/O37</f>
        <v>0.18564949314036377</v>
      </c>
      <c r="S37" s="297" t="str">
        <f t="shared" ref="S37:S42" si="53">S22</f>
        <v>1) Aumento de km/pieza por concentración de piezas en +26% 
2) Mejora en rendimiento al incorporar motos, bicicletas y peatones en la caracterización de flota (-7%).</v>
      </c>
    </row>
    <row r="38" spans="3:19" ht="17.399999999999999">
      <c r="C38" s="286" t="s">
        <v>83</v>
      </c>
      <c r="D38" s="287">
        <f t="shared" si="43"/>
        <v>0.20401860695695573</v>
      </c>
      <c r="E38" s="288">
        <f t="shared" si="44"/>
        <v>0.22683976249419099</v>
      </c>
      <c r="F38" s="288">
        <f t="shared" si="45"/>
        <v>2.2821155537235266E-2</v>
      </c>
      <c r="G38" s="289">
        <v>10258.87587947274</v>
      </c>
      <c r="H38" s="290">
        <f>'3. Transporte aéreo'!D56</f>
        <v>6789</v>
      </c>
      <c r="I38" s="235">
        <f t="shared" si="46"/>
        <v>-3469.8758794727401</v>
      </c>
      <c r="J38" s="288">
        <f t="shared" si="47"/>
        <v>-0.3382315879672263</v>
      </c>
      <c r="K38" s="291" t="str">
        <f t="shared" si="48"/>
        <v>1) Disminución tkm no proporcional a la baja de demanda (-24%)
2) Mejora en el factor de emisión Latam (-10%)  (-984 tonCO2)</v>
      </c>
      <c r="L38" s="292"/>
      <c r="M38" s="292"/>
      <c r="N38" s="292"/>
      <c r="O38" s="293">
        <f t="shared" si="49"/>
        <v>0.3114114848352319</v>
      </c>
      <c r="P38" s="294">
        <f t="shared" si="50"/>
        <v>0.35533649041439386</v>
      </c>
      <c r="Q38" s="295">
        <f t="shared" si="51"/>
        <v>4.3925005579161958E-2</v>
      </c>
      <c r="R38" s="296">
        <f t="shared" si="52"/>
        <v>0.14105133470720491</v>
      </c>
      <c r="S38" s="297" t="str">
        <f t="shared" si="53"/>
        <v>Se mantiene base por concentración de entregas y menor emisión por cambio en metodología</v>
      </c>
    </row>
    <row r="39" spans="3:19" ht="34.799999999999997">
      <c r="C39" s="298" t="s">
        <v>269</v>
      </c>
      <c r="D39" s="299">
        <f t="shared" si="43"/>
        <v>0.21959237599547718</v>
      </c>
      <c r="E39" s="216">
        <f t="shared" si="44"/>
        <v>0.14565576089823587</v>
      </c>
      <c r="F39" s="216">
        <f t="shared" si="45"/>
        <v>-7.3936615097241309E-2</v>
      </c>
      <c r="G39" s="218">
        <v>11041.9876060197</v>
      </c>
      <c r="H39" s="300">
        <f>'4. Transporte troncal'!L12</f>
        <v>4359.2752428642061</v>
      </c>
      <c r="I39" s="219">
        <f t="shared" si="46"/>
        <v>-6682.7123631554941</v>
      </c>
      <c r="J39" s="216">
        <f t="shared" si="47"/>
        <v>-0.60520918892467479</v>
      </c>
      <c r="K39" s="301" t="str">
        <f t="shared" si="48"/>
        <v>1) -50% por menor demanda (no proporcional a la baja -42%), modificación/optimización malla troncal y cambio de metodologia de medición  (no es posible determinar los impactos de forma independiente)  
2) -11% mayor precisión en el dato de rendimiento.</v>
      </c>
      <c r="L39" s="302"/>
      <c r="M39" s="302"/>
      <c r="N39" s="302"/>
      <c r="O39" s="224">
        <f t="shared" si="49"/>
        <v>0.33518309377377431</v>
      </c>
      <c r="P39" s="225">
        <f t="shared" si="50"/>
        <v>0.22816461416257497</v>
      </c>
      <c r="Q39" s="303">
        <f t="shared" si="51"/>
        <v>-0.10701847961119934</v>
      </c>
      <c r="R39" s="304">
        <f t="shared" si="52"/>
        <v>-0.31928364407134896</v>
      </c>
      <c r="S39" s="305" t="str">
        <f t="shared" si="53"/>
        <v>Aumento 15% km/pieza pero compensa con mejor rendimiento y por cambio metodologia</v>
      </c>
    </row>
    <row r="40" spans="3:19" ht="17.399999999999999">
      <c r="C40" s="286" t="s">
        <v>273</v>
      </c>
      <c r="D40" s="287">
        <f t="shared" si="43"/>
        <v>0.13156220405171534</v>
      </c>
      <c r="E40" s="288">
        <f t="shared" si="44"/>
        <v>0.13833596988660452</v>
      </c>
      <c r="F40" s="288">
        <f t="shared" si="45"/>
        <v>6.7737658348891727E-3</v>
      </c>
      <c r="G40" s="306">
        <v>6615.4766073918527</v>
      </c>
      <c r="H40" s="290">
        <f>'5. Bienes y servicios'!$O$35</f>
        <v>4140.2040331628741</v>
      </c>
      <c r="I40" s="235">
        <f t="shared" si="46"/>
        <v>-2475.2725742289786</v>
      </c>
      <c r="J40" s="288">
        <f t="shared" si="47"/>
        <v>-0.37416390702118335</v>
      </c>
      <c r="K40" s="307" t="str">
        <f t="shared" si="48"/>
        <v>1) Disminución del gasto en mayor proporción que el gasto en pesos por aumento del tipo de cambio(-13%) 
2) Menores gastos realizados en pesos (-8%)
3) Reubicación de gastos incluidos en otras categorias (-16%) (ej. transporte y arreglos)</v>
      </c>
      <c r="L40" s="308"/>
      <c r="M40" s="308"/>
      <c r="N40" s="308"/>
      <c r="O40" s="309">
        <f t="shared" si="49"/>
        <v>0.20081492528073369</v>
      </c>
      <c r="P40" s="294">
        <f t="shared" si="50"/>
        <v>0.21669841961166805</v>
      </c>
      <c r="Q40" s="295">
        <f t="shared" si="51"/>
        <v>1.5883494330934361E-2</v>
      </c>
      <c r="R40" s="296">
        <f t="shared" si="52"/>
        <v>7.9095188311972708E-2</v>
      </c>
      <c r="S40" s="310" t="str">
        <f t="shared" si="53"/>
        <v>Reducción de emisiones totales (-37%) no proporcional a la baja de demanda (-42%)</v>
      </c>
    </row>
    <row r="41" spans="3:19" ht="17.399999999999999">
      <c r="C41" s="298" t="s">
        <v>242</v>
      </c>
      <c r="D41" s="299">
        <f t="shared" si="43"/>
        <v>8.7987566995204144E-2</v>
      </c>
      <c r="E41" s="216">
        <f t="shared" si="44"/>
        <v>0.1085249003654636</v>
      </c>
      <c r="F41" s="216">
        <f t="shared" si="45"/>
        <v>2.0537333370259453E-2</v>
      </c>
      <c r="G41" s="218">
        <v>4424.3686505076239</v>
      </c>
      <c r="H41" s="300">
        <f>'6. Traslado colaboradores'!$L$12</f>
        <v>3248</v>
      </c>
      <c r="I41" s="219">
        <f t="shared" si="46"/>
        <v>-1176.3686505076239</v>
      </c>
      <c r="J41" s="216">
        <f t="shared" si="47"/>
        <v>-0.26588395846549878</v>
      </c>
      <c r="K41" s="311" t="str">
        <f t="shared" si="48"/>
        <v>1) Menor base de colaboradores (-20%)
2) Menor distancia recorrida por dia (declarada) por colaborador (-7%)</v>
      </c>
      <c r="L41" s="302"/>
      <c r="M41" s="302"/>
      <c r="N41" s="302"/>
      <c r="O41" s="224">
        <f t="shared" si="49"/>
        <v>0.13430313682514727</v>
      </c>
      <c r="P41" s="225">
        <f t="shared" si="50"/>
        <v>0.17000043023507899</v>
      </c>
      <c r="Q41" s="303">
        <f t="shared" si="51"/>
        <v>3.5697293409931719E-2</v>
      </c>
      <c r="R41" s="304">
        <f t="shared" si="52"/>
        <v>0.26579642332857012</v>
      </c>
      <c r="S41" s="305" t="str">
        <f t="shared" si="53"/>
        <v>Reducción de emisiones totales (-27%) no proporcinal a la baja de demanda (-42%)</v>
      </c>
    </row>
    <row r="42" spans="3:19" ht="17.399999999999999">
      <c r="C42" s="286" t="s">
        <v>25</v>
      </c>
      <c r="D42" s="287">
        <f t="shared" si="43"/>
        <v>3.1643545464000007E-2</v>
      </c>
      <c r="E42" s="288">
        <f t="shared" si="44"/>
        <v>3.5858731188326859E-2</v>
      </c>
      <c r="F42" s="288">
        <f t="shared" si="45"/>
        <v>4.2151857243268517E-3</v>
      </c>
      <c r="G42" s="306">
        <v>1591.1646988655268</v>
      </c>
      <c r="H42" s="290">
        <f>'7. Energia Electrica'!$X$16</f>
        <v>1073.2021730263682</v>
      </c>
      <c r="I42" s="235">
        <f t="shared" si="46"/>
        <v>-517.96252583915862</v>
      </c>
      <c r="J42" s="288">
        <f t="shared" si="47"/>
        <v>-0.32552414354620679</v>
      </c>
      <c r="K42" s="1439" t="str">
        <f t="shared" si="48"/>
        <v>1) Mejora de factor de emisión de matriz energetica nacional de un -23% (-18%)
2) Menor consumo electrico por instalaciones LED y menor cantidad de unidades (-11%) 
3) Aumento de consumo ERNC respceto del total (+1%)</v>
      </c>
      <c r="L42" s="312"/>
      <c r="M42" s="312"/>
      <c r="N42" s="312"/>
      <c r="O42" s="309">
        <f t="shared" si="49"/>
        <v>4.8300317433666543E-2</v>
      </c>
      <c r="P42" s="294">
        <f t="shared" si="50"/>
        <v>5.6171438160007477E-2</v>
      </c>
      <c r="Q42" s="295">
        <f t="shared" si="51"/>
        <v>7.8711207263409341E-3</v>
      </c>
      <c r="R42" s="296">
        <f t="shared" si="52"/>
        <v>0.1629620910287137</v>
      </c>
      <c r="S42" s="1441" t="str">
        <f t="shared" si="53"/>
        <v>Reduccion de emisiones totales (-29%) no es proporcional a la baja de demanda (-42%) por consumo fijo en instalaciones. 
Intensidad energetica por pieza aumenta +54%, sin embargo la mejora del factor de emisión contribuye a reducir -32%</v>
      </c>
    </row>
    <row r="43" spans="3:19" ht="17.399999999999999">
      <c r="C43" s="298" t="s">
        <v>338</v>
      </c>
      <c r="D43" s="299">
        <f t="shared" si="43"/>
        <v>6.0161167777273714E-3</v>
      </c>
      <c r="E43" s="216">
        <f t="shared" si="44"/>
        <v>9.040649280045842E-3</v>
      </c>
      <c r="F43" s="216">
        <f t="shared" si="45"/>
        <v>3.0245325023184706E-3</v>
      </c>
      <c r="G43" s="218">
        <v>302.51454129446199</v>
      </c>
      <c r="H43" s="300">
        <f>'7. Energia Electrica'!$Y$16</f>
        <v>270.5741149054632</v>
      </c>
      <c r="I43" s="219">
        <f t="shared" si="46"/>
        <v>-31.940426388998787</v>
      </c>
      <c r="J43" s="216">
        <f t="shared" si="47"/>
        <v>-0.10558311098807173</v>
      </c>
      <c r="K43" s="1440"/>
      <c r="L43" s="313"/>
      <c r="M43" s="313"/>
      <c r="N43" s="313"/>
      <c r="O43" s="224">
        <f t="shared" si="49"/>
        <v>9.1829264332223583E-3</v>
      </c>
      <c r="P43" s="225">
        <f t="shared" si="50"/>
        <v>1.4161858357267377E-2</v>
      </c>
      <c r="Q43" s="303">
        <f t="shared" si="51"/>
        <v>4.9789319240450183E-3</v>
      </c>
      <c r="R43" s="304">
        <f t="shared" si="52"/>
        <v>0.54219446929597948</v>
      </c>
      <c r="S43" s="1442"/>
    </row>
    <row r="44" spans="3:19" ht="17.399999999999999">
      <c r="C44" s="286" t="s">
        <v>339</v>
      </c>
      <c r="D44" s="287">
        <f t="shared" si="43"/>
        <v>4.4677032883179944E-2</v>
      </c>
      <c r="E44" s="288">
        <f t="shared" si="44"/>
        <v>2.6371037328129742E-2</v>
      </c>
      <c r="F44" s="288">
        <f t="shared" si="45"/>
        <v>-1.8305995555050202E-2</v>
      </c>
      <c r="G44" s="314">
        <v>2246.5408515820614</v>
      </c>
      <c r="H44" s="315">
        <f>'8. Insumos y Empaque'!$J$29</f>
        <v>789.24863283286834</v>
      </c>
      <c r="I44" s="235">
        <f t="shared" si="46"/>
        <v>-1457.2922187491931</v>
      </c>
      <c r="J44" s="288">
        <f t="shared" si="47"/>
        <v>-0.6486827149049782</v>
      </c>
      <c r="K44" s="1443" t="str">
        <f>K28</f>
        <v>1) Menor consumo de toneladas de material y optimización de compras de insumos y empaques (-46%)
2) Menor factor de emisión segun proporcion de uso de materiales por corrección (-18%)</v>
      </c>
      <c r="L44" s="316"/>
      <c r="M44" s="316"/>
      <c r="N44" s="316"/>
      <c r="O44" s="293">
        <f t="shared" si="49"/>
        <v>6.8194471845986732E-2</v>
      </c>
      <c r="P44" s="294">
        <f t="shared" si="50"/>
        <v>4.1309300229074974E-2</v>
      </c>
      <c r="Q44" s="295">
        <f t="shared" si="51"/>
        <v>-2.6885171616911757E-2</v>
      </c>
      <c r="R44" s="296">
        <f t="shared" si="52"/>
        <v>-0.39424268403501039</v>
      </c>
      <c r="S44" s="1445" t="str">
        <f>S28</f>
        <v>1) Menor consumo de material por pieza (-7%)
2) Menor factor de emision ponderado (-30%)</v>
      </c>
    </row>
    <row r="45" spans="3:19" ht="17.399999999999999">
      <c r="C45" s="286" t="s">
        <v>85</v>
      </c>
      <c r="D45" s="287">
        <f t="shared" si="43"/>
        <v>8.7229261038405184E-3</v>
      </c>
      <c r="E45" s="288">
        <f t="shared" si="44"/>
        <v>6.3648521068715999E-3</v>
      </c>
      <c r="F45" s="288">
        <f t="shared" si="45"/>
        <v>-2.3580739969689185E-3</v>
      </c>
      <c r="G45" s="314">
        <v>438.62379779895701</v>
      </c>
      <c r="H45" s="315">
        <f>'8. Insumos y Empaque'!$J$28</f>
        <v>190.49121052865613</v>
      </c>
      <c r="I45" s="235">
        <f t="shared" si="46"/>
        <v>-248.13258727030089</v>
      </c>
      <c r="J45" s="288">
        <f t="shared" si="47"/>
        <v>-0.56570707862967418</v>
      </c>
      <c r="K45" s="1444"/>
      <c r="L45" s="316"/>
      <c r="M45" s="316"/>
      <c r="N45" s="316"/>
      <c r="O45" s="293">
        <f t="shared" si="49"/>
        <v>1.3314566796733871E-2</v>
      </c>
      <c r="P45" s="294">
        <f t="shared" si="50"/>
        <v>9.9703164242218433E-3</v>
      </c>
      <c r="Q45" s="295">
        <f t="shared" si="51"/>
        <v>-3.3442503725120282E-3</v>
      </c>
      <c r="R45" s="296">
        <f t="shared" si="52"/>
        <v>-0.25117230050116157</v>
      </c>
      <c r="S45" s="1446"/>
    </row>
    <row r="46" spans="3:19" ht="17.399999999999999">
      <c r="C46" s="298" t="s">
        <v>340</v>
      </c>
      <c r="D46" s="299">
        <f t="shared" si="43"/>
        <v>3.0513853441253114E-2</v>
      </c>
      <c r="E46" s="216">
        <f t="shared" si="44"/>
        <v>1.8022397105689165E-2</v>
      </c>
      <c r="F46" s="216">
        <f t="shared" si="45"/>
        <v>-1.249145633556395E-2</v>
      </c>
      <c r="G46" s="317">
        <v>1534.3592416758499</v>
      </c>
      <c r="H46" s="318">
        <f>'8. Insumos y Empaque'!$K$28</f>
        <v>539.38539083797991</v>
      </c>
      <c r="I46" s="219">
        <f t="shared" si="46"/>
        <v>-994.97385083787003</v>
      </c>
      <c r="J46" s="216">
        <f t="shared" si="47"/>
        <v>-0.64846212269764469</v>
      </c>
      <c r="K46" s="1440"/>
      <c r="L46" s="302"/>
      <c r="M46" s="302"/>
      <c r="N46" s="302"/>
      <c r="O46" s="224">
        <f t="shared" si="49"/>
        <v>4.657596946630517E-2</v>
      </c>
      <c r="P46" s="225">
        <f t="shared" si="50"/>
        <v>2.8231449662861091E-2</v>
      </c>
      <c r="Q46" s="303">
        <f t="shared" si="51"/>
        <v>-1.8344519803444079E-2</v>
      </c>
      <c r="R46" s="304">
        <f t="shared" si="52"/>
        <v>-0.39386232887144096</v>
      </c>
      <c r="S46" s="1442"/>
    </row>
    <row r="47" spans="3:19" ht="17.399999999999999">
      <c r="C47" s="298" t="s">
        <v>341</v>
      </c>
      <c r="D47" s="299">
        <f t="shared" si="43"/>
        <v>1.0826640932252151E-2</v>
      </c>
      <c r="E47" s="216">
        <f t="shared" si="44"/>
        <v>1.0610400303969142E-2</v>
      </c>
      <c r="F47" s="216">
        <f t="shared" si="45"/>
        <v>-2.1624062828300844E-4</v>
      </c>
      <c r="G47" s="218">
        <v>544.40703802583778</v>
      </c>
      <c r="H47" s="300">
        <f>'9. Residuos'!P25</f>
        <v>317.55458951113644</v>
      </c>
      <c r="I47" s="219">
        <f t="shared" si="46"/>
        <v>-226.85244851470134</v>
      </c>
      <c r="J47" s="216">
        <f t="shared" si="47"/>
        <v>-0.41669639198149899</v>
      </c>
      <c r="K47" s="319" t="str">
        <f>K29</f>
        <v>1) Menor compra/uso de materiales por menor demanda, mejora en tasa de valorización (recupero de residuos regiones y gestión de punto limpio Enea)  (-34%)
2) Menor cantidad de colaboradores (-12%)
3) Aumento del factor de emisión ponderado por incorporación de tratamiento de residuos peligrosos (+2%)</v>
      </c>
      <c r="L47" s="302"/>
      <c r="M47" s="302"/>
      <c r="N47" s="302"/>
      <c r="O47" s="224">
        <f t="shared" si="49"/>
        <v>1.6525651158876289E-2</v>
      </c>
      <c r="P47" s="225">
        <f t="shared" si="50"/>
        <v>1.6620817992616103E-2</v>
      </c>
      <c r="Q47" s="313">
        <f t="shared" si="51"/>
        <v>9.5166833739813994E-5</v>
      </c>
      <c r="R47" s="304">
        <f t="shared" si="52"/>
        <v>5.758734274667162E-3</v>
      </c>
      <c r="S47" s="305" t="str">
        <f>S29</f>
        <v>Disminucion absoluta de emisiones (-41,6%) no proporcional a disminución de demanda (-42%)</v>
      </c>
    </row>
    <row r="48" spans="3:19" ht="17.399999999999999">
      <c r="C48" s="286" t="s">
        <v>342</v>
      </c>
      <c r="D48" s="287">
        <f t="shared" si="43"/>
        <v>2.0818647471892937E-2</v>
      </c>
      <c r="E48" s="288">
        <f t="shared" si="44"/>
        <v>3.0928489413142048E-2</v>
      </c>
      <c r="F48" s="288">
        <f t="shared" si="45"/>
        <v>1.0109841941249111E-2</v>
      </c>
      <c r="G48" s="306">
        <v>1046.8453028782287</v>
      </c>
      <c r="H48" s="290">
        <f>'10. Bienes de capital'!J19</f>
        <v>925.64686330597988</v>
      </c>
      <c r="I48" s="235">
        <f t="shared" si="46"/>
        <v>-121.19843957224884</v>
      </c>
      <c r="J48" s="288">
        <f t="shared" si="47"/>
        <v>-0.11577492800418755</v>
      </c>
      <c r="K48" s="307"/>
      <c r="L48" s="308"/>
      <c r="M48" s="308"/>
      <c r="N48" s="308"/>
      <c r="O48" s="309">
        <f t="shared" si="49"/>
        <v>3.1777326677126363E-2</v>
      </c>
      <c r="P48" s="294">
        <f t="shared" si="50"/>
        <v>4.8448388241307858E-2</v>
      </c>
      <c r="Q48" s="295">
        <f t="shared" si="51"/>
        <v>1.6671061564181494E-2</v>
      </c>
      <c r="R48" s="296">
        <f t="shared" si="52"/>
        <v>0.52462127269445513</v>
      </c>
      <c r="S48" s="310" t="s">
        <v>343</v>
      </c>
    </row>
    <row r="49" spans="2:19" ht="17.399999999999999">
      <c r="B49" s="147"/>
      <c r="C49" s="286" t="s">
        <v>36</v>
      </c>
      <c r="D49" s="287">
        <f t="shared" si="43"/>
        <v>5.5099014655784389E-4</v>
      </c>
      <c r="E49" s="288">
        <f t="shared" si="44"/>
        <v>8.7953417435227398E-3</v>
      </c>
      <c r="F49" s="288">
        <f t="shared" si="45"/>
        <v>8.2443515969648964E-3</v>
      </c>
      <c r="G49" s="289">
        <v>27.705999999999996</v>
      </c>
      <c r="H49" s="290">
        <f>'11. Refrigerantes'!$J$37</f>
        <v>263.23239999999998</v>
      </c>
      <c r="I49" s="320">
        <f t="shared" si="46"/>
        <v>235.5264</v>
      </c>
      <c r="J49" s="288">
        <f t="shared" si="47"/>
        <v>8.5009167689309191</v>
      </c>
      <c r="K49" s="321"/>
      <c r="L49" s="292"/>
      <c r="M49" s="292"/>
      <c r="N49" s="292"/>
      <c r="O49" s="293">
        <f t="shared" si="49"/>
        <v>8.4102456255551975E-4</v>
      </c>
      <c r="P49" s="294">
        <f t="shared" si="50"/>
        <v>1.377759274994224E-2</v>
      </c>
      <c r="Q49" s="295">
        <f t="shared" si="51"/>
        <v>1.293656818738672E-2</v>
      </c>
      <c r="R49" s="296">
        <f t="shared" si="52"/>
        <v>15.381914825505135</v>
      </c>
      <c r="S49" s="297" t="s">
        <v>344</v>
      </c>
    </row>
    <row r="50" spans="2:19" ht="17.399999999999999">
      <c r="B50" s="147"/>
      <c r="C50" s="286" t="s">
        <v>101</v>
      </c>
      <c r="D50" s="287">
        <f t="shared" si="43"/>
        <v>2.1385480932324969E-3</v>
      </c>
      <c r="E50" s="288">
        <f t="shared" si="44"/>
        <v>2.2070861902383876E-3</v>
      </c>
      <c r="F50" s="288">
        <f t="shared" si="45"/>
        <v>6.8538097005890666E-5</v>
      </c>
      <c r="G50" s="289">
        <v>107.53479684029037</v>
      </c>
      <c r="H50" s="290">
        <f>'12. Viajes de Negocio'!$G$37</f>
        <v>66.055033653599978</v>
      </c>
      <c r="I50" s="235">
        <f t="shared" si="46"/>
        <v>-41.479763186690391</v>
      </c>
      <c r="J50" s="288">
        <f t="shared" si="47"/>
        <v>-0.38573340356327385</v>
      </c>
      <c r="K50" s="291"/>
      <c r="L50" s="292"/>
      <c r="M50" s="292"/>
      <c r="N50" s="292"/>
      <c r="O50" s="293">
        <f t="shared" si="49"/>
        <v>3.2642534278532415E-3</v>
      </c>
      <c r="P50" s="294">
        <f t="shared" si="50"/>
        <v>3.4573227032957568E-3</v>
      </c>
      <c r="Q50" s="295">
        <f t="shared" si="51"/>
        <v>1.9306927544251529E-4</v>
      </c>
      <c r="R50" s="296">
        <f t="shared" si="52"/>
        <v>5.9146533720419073E-2</v>
      </c>
      <c r="S50" s="297" t="s">
        <v>345</v>
      </c>
    </row>
    <row r="51" spans="2:19" ht="17.399999999999999">
      <c r="B51" s="147"/>
      <c r="C51" s="286" t="s">
        <v>346</v>
      </c>
      <c r="D51" s="287">
        <f t="shared" si="43"/>
        <v>8.1039742256755416E-5</v>
      </c>
      <c r="E51" s="288">
        <f t="shared" si="44"/>
        <v>3.9964394869100329E-4</v>
      </c>
      <c r="F51" s="288">
        <f t="shared" si="45"/>
        <v>3.1860420643424784E-4</v>
      </c>
      <c r="G51" s="289">
        <v>4.0750040867199999</v>
      </c>
      <c r="H51" s="290">
        <f>SUM('13. Combustible Fuentes fijas'!$K$37:$L$37)</f>
        <v>11.960790021249919</v>
      </c>
      <c r="I51" s="235">
        <f t="shared" si="46"/>
        <v>7.8857859345299186</v>
      </c>
      <c r="J51" s="288">
        <f t="shared" si="47"/>
        <v>1.9351602517967643</v>
      </c>
      <c r="K51" s="291"/>
      <c r="L51" s="292"/>
      <c r="M51" s="292"/>
      <c r="N51" s="292"/>
      <c r="O51" s="293">
        <f t="shared" si="49"/>
        <v>1.236980628544591E-4</v>
      </c>
      <c r="P51" s="294">
        <f t="shared" si="50"/>
        <v>6.2602815565391797E-4</v>
      </c>
      <c r="Q51" s="295">
        <f t="shared" si="51"/>
        <v>5.0233009279945892E-4</v>
      </c>
      <c r="R51" s="296">
        <f t="shared" si="52"/>
        <v>4.0609374246263776</v>
      </c>
      <c r="S51" s="322" t="s">
        <v>38</v>
      </c>
    </row>
    <row r="52" spans="2:19" ht="17.399999999999999">
      <c r="B52" s="147"/>
      <c r="C52" s="192" t="s">
        <v>39</v>
      </c>
      <c r="D52" s="323">
        <f t="shared" ref="D52:E52" si="54">SUM(D37:D51)</f>
        <v>1.0000000000000002</v>
      </c>
      <c r="E52" s="323">
        <f t="shared" si="54"/>
        <v>1</v>
      </c>
      <c r="F52" s="323">
        <f t="shared" si="45"/>
        <v>0</v>
      </c>
      <c r="G52" s="324">
        <f t="shared" ref="G52:I52" si="55">+SUM(G37:G51)</f>
        <v>50284.020817950099</v>
      </c>
      <c r="H52" s="325">
        <f t="shared" si="55"/>
        <v>29928.615359813099</v>
      </c>
      <c r="I52" s="326">
        <f t="shared" si="55"/>
        <v>-20355.405458137004</v>
      </c>
      <c r="J52" s="327">
        <f t="shared" si="47"/>
        <v>-0.40480862761218667</v>
      </c>
      <c r="K52" s="328"/>
      <c r="L52" s="329"/>
      <c r="M52" s="329"/>
      <c r="N52" s="329"/>
      <c r="O52" s="330">
        <f t="shared" ref="O52:P52" si="56">+SUM(O37:O51)</f>
        <v>1.5263876637533076</v>
      </c>
      <c r="P52" s="331">
        <f t="shared" si="56"/>
        <v>1.5664647436910157</v>
      </c>
      <c r="Q52" s="332">
        <f t="shared" si="51"/>
        <v>4.0077079937708149E-2</v>
      </c>
      <c r="R52" s="160">
        <f t="shared" si="52"/>
        <v>2.6256160796766858E-2</v>
      </c>
      <c r="S52" s="171"/>
    </row>
    <row r="53" spans="2:19" ht="17.399999999999999">
      <c r="B53" s="147"/>
      <c r="C53" s="333"/>
      <c r="D53" s="275"/>
      <c r="E53" s="275"/>
      <c r="F53" s="196"/>
      <c r="G53" s="196"/>
      <c r="H53" s="196"/>
      <c r="I53" s="196"/>
      <c r="J53" s="196"/>
      <c r="K53" s="162"/>
      <c r="L53" s="163"/>
      <c r="M53" s="163"/>
      <c r="N53" s="163"/>
      <c r="O53" s="163"/>
      <c r="P53" s="163"/>
      <c r="Q53" s="163"/>
      <c r="R53" s="163"/>
      <c r="S53" s="163"/>
    </row>
    <row r="54" spans="2:19" ht="17.399999999999999">
      <c r="B54" s="147"/>
      <c r="C54" s="274"/>
      <c r="D54" s="275"/>
      <c r="E54" s="275"/>
      <c r="F54" s="140"/>
      <c r="G54" s="140"/>
      <c r="H54" s="140"/>
      <c r="I54" s="140"/>
      <c r="J54" s="140"/>
      <c r="K54" s="140"/>
      <c r="L54" s="172"/>
      <c r="M54" s="172"/>
      <c r="N54" s="172"/>
      <c r="O54" s="172"/>
      <c r="P54" s="172"/>
      <c r="Q54" s="172"/>
      <c r="R54" s="172"/>
      <c r="S54" s="172"/>
    </row>
    <row r="55" spans="2:19" ht="18">
      <c r="B55" s="140"/>
      <c r="C55" s="173" t="s">
        <v>347</v>
      </c>
      <c r="D55" s="174"/>
      <c r="E55" s="174"/>
      <c r="F55" s="174"/>
      <c r="G55" s="334"/>
      <c r="H55" s="334"/>
      <c r="I55" s="334"/>
      <c r="J55" s="334"/>
      <c r="K55" s="334"/>
      <c r="L55" s="334"/>
      <c r="M55" s="334"/>
      <c r="N55" s="334"/>
      <c r="O55" s="174"/>
      <c r="P55" s="174"/>
      <c r="Q55" s="174"/>
      <c r="R55" s="174"/>
      <c r="S55" s="174"/>
    </row>
    <row r="56" spans="2:19" ht="18">
      <c r="B56" s="140"/>
      <c r="C56" s="1422" t="s">
        <v>348</v>
      </c>
      <c r="D56" s="1418" t="s">
        <v>297</v>
      </c>
      <c r="E56" s="1419"/>
      <c r="F56" s="1420"/>
      <c r="G56" s="1436" t="s">
        <v>255</v>
      </c>
      <c r="H56" s="1437"/>
      <c r="I56" s="1437"/>
      <c r="J56" s="1437"/>
      <c r="K56" s="1438"/>
      <c r="L56" s="176"/>
      <c r="M56" s="176"/>
      <c r="N56" s="176"/>
      <c r="O56" s="1421" t="s">
        <v>298</v>
      </c>
      <c r="P56" s="1419"/>
      <c r="Q56" s="1419"/>
      <c r="R56" s="1419"/>
      <c r="S56" s="1420"/>
    </row>
    <row r="57" spans="2:19" ht="17.399999999999999">
      <c r="B57" s="140"/>
      <c r="C57" s="1403"/>
      <c r="D57" s="178">
        <v>2021</v>
      </c>
      <c r="E57" s="178">
        <v>2022</v>
      </c>
      <c r="F57" s="150" t="s">
        <v>299</v>
      </c>
      <c r="G57" s="335">
        <v>2021</v>
      </c>
      <c r="H57" s="178">
        <v>2022</v>
      </c>
      <c r="I57" s="178" t="s">
        <v>299</v>
      </c>
      <c r="J57" s="150" t="s">
        <v>300</v>
      </c>
      <c r="K57" s="336" t="s">
        <v>301</v>
      </c>
      <c r="L57" s="175"/>
      <c r="M57" s="175"/>
      <c r="N57" s="175"/>
      <c r="O57" s="178">
        <v>2021</v>
      </c>
      <c r="P57" s="178">
        <v>2022</v>
      </c>
      <c r="Q57" s="178" t="s">
        <v>299</v>
      </c>
      <c r="R57" s="178" t="s">
        <v>300</v>
      </c>
      <c r="S57" s="178" t="s">
        <v>301</v>
      </c>
    </row>
    <row r="58" spans="2:19" ht="17.399999999999999">
      <c r="B58" s="140"/>
      <c r="C58" s="185" t="s">
        <v>50</v>
      </c>
      <c r="D58" s="337">
        <f t="shared" ref="D58:E58" si="57">SUM(D67:D69)</f>
        <v>9.4158368144805688E-2</v>
      </c>
      <c r="E58" s="337">
        <f t="shared" si="57"/>
        <v>9.2379843677976331E-2</v>
      </c>
      <c r="F58" s="338">
        <f t="shared" ref="F58:F60" si="58">E58-D58</f>
        <v>-1.7785244668293565E-3</v>
      </c>
      <c r="G58" s="339">
        <f t="shared" ref="G58:H58" si="59">SUM(G67:G69)</f>
        <v>4734.6410040867195</v>
      </c>
      <c r="H58" s="340">
        <f t="shared" si="59"/>
        <v>2764.8008084378148</v>
      </c>
      <c r="I58" s="181">
        <f t="shared" ref="I58:I61" si="60">H58-G58</f>
        <v>-1969.8401956489047</v>
      </c>
      <c r="J58" s="180">
        <f t="shared" ref="J58:J61" si="61">I58/G58</f>
        <v>-0.41604848053920696</v>
      </c>
      <c r="K58" s="341"/>
      <c r="L58" s="342"/>
      <c r="M58" s="342"/>
      <c r="N58" s="342"/>
      <c r="O58" s="343">
        <f t="shared" ref="O58:P58" si="62">SUM(O67:O69)</f>
        <v>0.1437215541514279</v>
      </c>
      <c r="P58" s="343">
        <f t="shared" si="62"/>
        <v>0.14470976814923728</v>
      </c>
      <c r="Q58" s="344">
        <f t="shared" ref="Q58:Q61" si="63">P58-O58</f>
        <v>9.8821399780937846E-4</v>
      </c>
      <c r="R58" s="180">
        <f t="shared" ref="R58:R61" si="64">Q58/O58</f>
        <v>6.8758927889700974E-3</v>
      </c>
      <c r="S58" s="184"/>
    </row>
    <row r="59" spans="2:19" ht="17.399999999999999">
      <c r="B59" s="140"/>
      <c r="C59" s="185" t="s">
        <v>51</v>
      </c>
      <c r="D59" s="337">
        <f t="shared" ref="D59:E59" si="65">D70</f>
        <v>3.1643681403823502E-2</v>
      </c>
      <c r="E59" s="337">
        <f t="shared" si="65"/>
        <v>3.5858731188326859E-2</v>
      </c>
      <c r="F59" s="338">
        <f t="shared" si="58"/>
        <v>4.2150497845033566E-3</v>
      </c>
      <c r="G59" s="339">
        <f t="shared" ref="G59:H59" si="66">G70</f>
        <v>1591.1646988655268</v>
      </c>
      <c r="H59" s="340">
        <f t="shared" si="66"/>
        <v>1073.2021730263682</v>
      </c>
      <c r="I59" s="181">
        <f t="shared" si="60"/>
        <v>-517.96252583915862</v>
      </c>
      <c r="J59" s="180">
        <f t="shared" si="61"/>
        <v>-0.32552414354620679</v>
      </c>
      <c r="K59" s="341"/>
      <c r="L59" s="342"/>
      <c r="M59" s="342"/>
      <c r="N59" s="342"/>
      <c r="O59" s="343">
        <f t="shared" ref="O59:P59" si="67">O70</f>
        <v>4.8300317433666543E-2</v>
      </c>
      <c r="P59" s="343">
        <f t="shared" si="67"/>
        <v>5.6171438160007477E-2</v>
      </c>
      <c r="Q59" s="344">
        <f t="shared" si="63"/>
        <v>7.8711207263409341E-3</v>
      </c>
      <c r="R59" s="180">
        <f t="shared" si="64"/>
        <v>0.1629620910287137</v>
      </c>
      <c r="S59" s="184"/>
    </row>
    <row r="60" spans="2:19" ht="17.399999999999999">
      <c r="B60" s="140"/>
      <c r="C60" s="185" t="s">
        <v>54</v>
      </c>
      <c r="D60" s="337">
        <f t="shared" ref="D60:E60" si="68">SUM(D71:D83)</f>
        <v>0.87419795045137072</v>
      </c>
      <c r="E60" s="337">
        <f t="shared" si="68"/>
        <v>0.87176142513369692</v>
      </c>
      <c r="F60" s="338">
        <f t="shared" si="58"/>
        <v>-2.4365253176737989E-3</v>
      </c>
      <c r="G60" s="339">
        <f t="shared" ref="G60:H60" si="69">SUM(G71:G83)</f>
        <v>43957.999097119675</v>
      </c>
      <c r="H60" s="340">
        <f t="shared" si="69"/>
        <v>26090.612378348913</v>
      </c>
      <c r="I60" s="181">
        <f t="shared" si="60"/>
        <v>-17867.386718770762</v>
      </c>
      <c r="J60" s="180">
        <f t="shared" si="61"/>
        <v>-0.40646496850994096</v>
      </c>
      <c r="K60" s="341"/>
      <c r="L60" s="342"/>
      <c r="M60" s="342"/>
      <c r="N60" s="342"/>
      <c r="O60" s="343">
        <f t="shared" ref="O60:P60" si="70">SUM(O71:O83)</f>
        <v>1.3343592348758759</v>
      </c>
      <c r="P60" s="343">
        <f t="shared" si="70"/>
        <v>1.3655835373817711</v>
      </c>
      <c r="Q60" s="344">
        <f t="shared" si="63"/>
        <v>3.1224302505895141E-2</v>
      </c>
      <c r="R60" s="180">
        <f t="shared" si="64"/>
        <v>2.3400222136432152E-2</v>
      </c>
      <c r="S60" s="184"/>
    </row>
    <row r="61" spans="2:19" ht="17.399999999999999">
      <c r="B61" s="147"/>
      <c r="C61" s="192" t="s">
        <v>39</v>
      </c>
      <c r="D61" s="323">
        <f t="shared" ref="D61:E61" si="71">D60+D59+D58</f>
        <v>0.99999999999999989</v>
      </c>
      <c r="E61" s="156">
        <f t="shared" si="71"/>
        <v>1</v>
      </c>
      <c r="F61" s="345">
        <f t="shared" ref="F61:H61" si="72">SUM(F58:F60)</f>
        <v>2.0122792321330962E-16</v>
      </c>
      <c r="G61" s="324">
        <f t="shared" si="72"/>
        <v>50283.804800071921</v>
      </c>
      <c r="H61" s="326">
        <f t="shared" si="72"/>
        <v>29928.615359813095</v>
      </c>
      <c r="I61" s="326">
        <f t="shared" si="60"/>
        <v>-20355.189440258826</v>
      </c>
      <c r="J61" s="327">
        <f t="shared" si="61"/>
        <v>-0.40480607068599772</v>
      </c>
      <c r="K61" s="328"/>
      <c r="L61" s="346"/>
      <c r="M61" s="346"/>
      <c r="N61" s="346"/>
      <c r="O61" s="347">
        <f t="shared" ref="O61:P61" si="73">SUM(O58:O60)</f>
        <v>1.5263811064609705</v>
      </c>
      <c r="P61" s="347">
        <f t="shared" si="73"/>
        <v>1.5664647436910157</v>
      </c>
      <c r="Q61" s="347">
        <f t="shared" si="63"/>
        <v>4.0083637230045266E-2</v>
      </c>
      <c r="R61" s="156">
        <f t="shared" si="64"/>
        <v>2.6260569565737222E-2</v>
      </c>
      <c r="S61" s="171"/>
    </row>
    <row r="62" spans="2:19" ht="17.399999999999999">
      <c r="B62" s="140"/>
      <c r="C62" s="348"/>
      <c r="D62" s="162"/>
      <c r="E62" s="162"/>
      <c r="F62" s="162"/>
      <c r="G62" s="162"/>
      <c r="H62" s="162"/>
      <c r="I62" s="162"/>
      <c r="J62" s="349"/>
      <c r="K62" s="162"/>
      <c r="L62" s="163"/>
      <c r="M62" s="163"/>
      <c r="N62" s="163"/>
      <c r="O62" s="163"/>
      <c r="P62" s="163"/>
      <c r="Q62" s="163"/>
      <c r="R62" s="163"/>
      <c r="S62" s="163"/>
    </row>
    <row r="63" spans="2:19" ht="17.399999999999999">
      <c r="B63" s="140"/>
      <c r="C63" s="143"/>
      <c r="D63" s="140"/>
      <c r="E63" s="140"/>
      <c r="F63" s="140"/>
      <c r="G63" s="140"/>
      <c r="H63" s="140"/>
      <c r="I63" s="140"/>
      <c r="J63" s="140"/>
      <c r="K63" s="140"/>
      <c r="L63" s="172"/>
      <c r="M63" s="172"/>
      <c r="N63" s="172"/>
      <c r="O63" s="172"/>
      <c r="P63" s="172"/>
      <c r="Q63" s="172"/>
      <c r="R63" s="172"/>
      <c r="S63" s="172"/>
    </row>
    <row r="64" spans="2:19" ht="18">
      <c r="B64" s="140"/>
      <c r="C64" s="146" t="s">
        <v>349</v>
      </c>
      <c r="D64" s="141"/>
      <c r="E64" s="141"/>
      <c r="F64" s="141"/>
      <c r="G64" s="141"/>
      <c r="H64" s="141"/>
      <c r="I64" s="141"/>
      <c r="J64" s="141"/>
      <c r="K64" s="141"/>
      <c r="L64" s="142"/>
      <c r="M64" s="142"/>
      <c r="N64" s="142"/>
      <c r="O64" s="142"/>
      <c r="P64" s="142"/>
      <c r="Q64" s="142"/>
      <c r="R64" s="142"/>
      <c r="S64" s="142"/>
    </row>
    <row r="65" spans="2:19" ht="18">
      <c r="B65" s="140"/>
      <c r="C65" s="1413" t="s">
        <v>350</v>
      </c>
      <c r="D65" s="1431" t="s">
        <v>297</v>
      </c>
      <c r="E65" s="1425"/>
      <c r="F65" s="1426"/>
      <c r="G65" s="1432" t="s">
        <v>255</v>
      </c>
      <c r="H65" s="1428"/>
      <c r="I65" s="1428"/>
      <c r="J65" s="1428"/>
      <c r="K65" s="1429"/>
      <c r="L65" s="282"/>
      <c r="M65" s="282"/>
      <c r="N65" s="282"/>
      <c r="O65" s="1430" t="s">
        <v>298</v>
      </c>
      <c r="P65" s="1425"/>
      <c r="Q65" s="1425"/>
      <c r="R65" s="1425"/>
      <c r="S65" s="1426"/>
    </row>
    <row r="66" spans="2:19" ht="17.399999999999999">
      <c r="B66" s="140"/>
      <c r="C66" s="1403"/>
      <c r="D66" s="150">
        <v>2021</v>
      </c>
      <c r="E66" s="150">
        <v>2022</v>
      </c>
      <c r="F66" s="150" t="s">
        <v>299</v>
      </c>
      <c r="G66" s="283">
        <v>2021</v>
      </c>
      <c r="H66" s="150">
        <v>2022</v>
      </c>
      <c r="I66" s="150" t="s">
        <v>299</v>
      </c>
      <c r="J66" s="350" t="s">
        <v>300</v>
      </c>
      <c r="K66" s="284" t="s">
        <v>301</v>
      </c>
      <c r="L66" s="285"/>
      <c r="M66" s="285"/>
      <c r="N66" s="285"/>
      <c r="O66" s="208">
        <v>2021</v>
      </c>
      <c r="P66" s="151">
        <v>2022</v>
      </c>
      <c r="Q66" s="151" t="s">
        <v>299</v>
      </c>
      <c r="R66" s="150" t="s">
        <v>300</v>
      </c>
      <c r="S66" s="151" t="s">
        <v>301</v>
      </c>
    </row>
    <row r="67" spans="2:19" ht="17.399999999999999">
      <c r="B67" s="351">
        <v>1</v>
      </c>
      <c r="C67" s="185" t="s">
        <v>351</v>
      </c>
      <c r="D67" s="180">
        <f t="shared" ref="D67:D83" si="74">G67/$G$84</f>
        <v>9.3526335540807623E-2</v>
      </c>
      <c r="E67" s="180">
        <f t="shared" ref="E67:E83" si="75">H67/$H$84</f>
        <v>8.3184857985762584E-2</v>
      </c>
      <c r="F67" s="180">
        <f t="shared" ref="F67:F83" si="76">E67-D67</f>
        <v>-1.0341477555045039E-2</v>
      </c>
      <c r="G67" s="352">
        <f>'4. Transporte troncal'!J24</f>
        <v>4702.8599999999997</v>
      </c>
      <c r="H67" s="181">
        <f>'2. Distribución'!N5+'4. Transporte troncal'!P16</f>
        <v>2489.6076184165649</v>
      </c>
      <c r="I67" s="181">
        <f t="shared" ref="I67:I83" si="77">H67-G67</f>
        <v>-2213.2523815834347</v>
      </c>
      <c r="J67" s="180">
        <f t="shared" ref="J67:J84" si="78">I67/G67</f>
        <v>-0.47061838574472448</v>
      </c>
      <c r="K67" s="341"/>
      <c r="L67" s="344"/>
      <c r="M67" s="344"/>
      <c r="N67" s="344"/>
      <c r="O67" s="344">
        <f t="shared" ref="O67:O83" si="79">G67*1000/$O$7</f>
        <v>0.14275683152601792</v>
      </c>
      <c r="P67" s="344">
        <f t="shared" ref="P67:P83" si="80">H67*1000/$P$7</f>
        <v>0.13030614724364112</v>
      </c>
      <c r="Q67" s="344">
        <f t="shared" ref="Q67:Q83" si="81">P67-O67</f>
        <v>-1.2450684282376806E-2</v>
      </c>
      <c r="R67" s="180">
        <f t="shared" ref="R67:R84" si="82">Q67/O67</f>
        <v>-8.7216031269982522E-2</v>
      </c>
      <c r="S67" s="184"/>
    </row>
    <row r="68" spans="2:19" ht="17.399999999999999">
      <c r="B68" s="276">
        <v>1</v>
      </c>
      <c r="C68" s="185" t="s">
        <v>352</v>
      </c>
      <c r="D68" s="180">
        <f t="shared" si="74"/>
        <v>8.1040090401316881E-5</v>
      </c>
      <c r="E68" s="180">
        <f t="shared" si="75"/>
        <v>3.9964394869100334E-4</v>
      </c>
      <c r="F68" s="180">
        <f t="shared" si="76"/>
        <v>3.1860385828968649E-4</v>
      </c>
      <c r="G68" s="352">
        <f t="shared" ref="G68:H68" si="83">G51</f>
        <v>4.0750040867199999</v>
      </c>
      <c r="H68" s="181">
        <f t="shared" si="83"/>
        <v>11.960790021249919</v>
      </c>
      <c r="I68" s="181">
        <f t="shared" si="77"/>
        <v>7.8857859345299186</v>
      </c>
      <c r="J68" s="180">
        <f t="shared" si="78"/>
        <v>1.9351602517967643</v>
      </c>
      <c r="K68" s="341"/>
      <c r="L68" s="344"/>
      <c r="M68" s="344"/>
      <c r="N68" s="344"/>
      <c r="O68" s="344">
        <f t="shared" si="79"/>
        <v>1.236980628544591E-4</v>
      </c>
      <c r="P68" s="344">
        <f t="shared" si="80"/>
        <v>6.2602815565391797E-4</v>
      </c>
      <c r="Q68" s="344">
        <f t="shared" si="81"/>
        <v>5.0233009279945892E-4</v>
      </c>
      <c r="R68" s="180">
        <f t="shared" si="82"/>
        <v>4.0609374246263776</v>
      </c>
      <c r="S68" s="184"/>
    </row>
    <row r="69" spans="2:19" ht="17.399999999999999">
      <c r="B69" s="276">
        <v>1</v>
      </c>
      <c r="C69" s="353" t="s">
        <v>353</v>
      </c>
      <c r="D69" s="354">
        <f t="shared" si="74"/>
        <v>5.5099251359675089E-4</v>
      </c>
      <c r="E69" s="354">
        <f t="shared" si="75"/>
        <v>8.7953417435227416E-3</v>
      </c>
      <c r="F69" s="354">
        <f t="shared" si="76"/>
        <v>8.2443492299259912E-3</v>
      </c>
      <c r="G69" s="355">
        <f t="shared" ref="G69:H69" si="84">G49</f>
        <v>27.705999999999996</v>
      </c>
      <c r="H69" s="356">
        <f t="shared" si="84"/>
        <v>263.23239999999998</v>
      </c>
      <c r="I69" s="356">
        <f t="shared" si="77"/>
        <v>235.5264</v>
      </c>
      <c r="J69" s="354">
        <f t="shared" si="78"/>
        <v>8.5009167689309191</v>
      </c>
      <c r="K69" s="357"/>
      <c r="L69" s="358"/>
      <c r="M69" s="358"/>
      <c r="N69" s="358"/>
      <c r="O69" s="358">
        <f t="shared" si="79"/>
        <v>8.4102456255551975E-4</v>
      </c>
      <c r="P69" s="358">
        <f t="shared" si="80"/>
        <v>1.377759274994224E-2</v>
      </c>
      <c r="Q69" s="358">
        <f t="shared" si="81"/>
        <v>1.293656818738672E-2</v>
      </c>
      <c r="R69" s="354">
        <f t="shared" si="82"/>
        <v>15.381914825505135</v>
      </c>
      <c r="S69" s="359"/>
    </row>
    <row r="70" spans="2:19" ht="17.399999999999999">
      <c r="B70" s="276">
        <v>2</v>
      </c>
      <c r="C70" s="353" t="s">
        <v>354</v>
      </c>
      <c r="D70" s="354">
        <f t="shared" si="74"/>
        <v>3.1643681403823502E-2</v>
      </c>
      <c r="E70" s="354">
        <f t="shared" si="75"/>
        <v>3.5858731188326859E-2</v>
      </c>
      <c r="F70" s="354">
        <f t="shared" si="76"/>
        <v>4.2150497845033566E-3</v>
      </c>
      <c r="G70" s="355">
        <f t="shared" ref="G70:H70" si="85">G42</f>
        <v>1591.1646988655268</v>
      </c>
      <c r="H70" s="356">
        <f t="shared" si="85"/>
        <v>1073.2021730263682</v>
      </c>
      <c r="I70" s="356">
        <f t="shared" si="77"/>
        <v>-517.96252583915862</v>
      </c>
      <c r="J70" s="354">
        <f t="shared" si="78"/>
        <v>-0.32552414354620679</v>
      </c>
      <c r="K70" s="360"/>
      <c r="L70" s="358"/>
      <c r="M70" s="358"/>
      <c r="N70" s="358"/>
      <c r="O70" s="358">
        <f t="shared" si="79"/>
        <v>4.8300317433666543E-2</v>
      </c>
      <c r="P70" s="358">
        <f t="shared" si="80"/>
        <v>5.6171438160007477E-2</v>
      </c>
      <c r="Q70" s="358">
        <f t="shared" si="81"/>
        <v>7.8711207263409341E-3</v>
      </c>
      <c r="R70" s="354">
        <f t="shared" si="82"/>
        <v>0.1629620910287137</v>
      </c>
      <c r="S70" s="361"/>
    </row>
    <row r="71" spans="2:19" ht="17.399999999999999">
      <c r="B71" s="362">
        <v>3</v>
      </c>
      <c r="C71" s="185" t="s">
        <v>355</v>
      </c>
      <c r="D71" s="180">
        <f t="shared" si="74"/>
        <v>0.20085076779026487</v>
      </c>
      <c r="E71" s="180">
        <f t="shared" si="75"/>
        <v>0.18820634785104848</v>
      </c>
      <c r="F71" s="180">
        <f t="shared" si="76"/>
        <v>-1.2644419939216389E-2</v>
      </c>
      <c r="G71" s="352">
        <f>'2. Distribución'!K22</f>
        <v>10099.540801510251</v>
      </c>
      <c r="H71" s="181">
        <f>'2. Distribución'!N6+'2. Distribución'!O6</f>
        <v>5632.7553931092161</v>
      </c>
      <c r="I71" s="181">
        <f t="shared" si="77"/>
        <v>-4466.7854084010351</v>
      </c>
      <c r="J71" s="180">
        <f t="shared" si="78"/>
        <v>-0.44227608919933142</v>
      </c>
      <c r="K71" s="363"/>
      <c r="L71" s="344"/>
      <c r="M71" s="344"/>
      <c r="N71" s="344"/>
      <c r="O71" s="344">
        <f t="shared" si="79"/>
        <v>0.30657481717323987</v>
      </c>
      <c r="P71" s="344">
        <f t="shared" si="80"/>
        <v>0.29481860844751484</v>
      </c>
      <c r="Q71" s="344">
        <f t="shared" si="81"/>
        <v>-1.1756208725725026E-2</v>
      </c>
      <c r="R71" s="180">
        <f t="shared" si="82"/>
        <v>-3.8346948500606319E-2</v>
      </c>
      <c r="S71" s="364"/>
    </row>
    <row r="72" spans="2:19" ht="17.399999999999999">
      <c r="B72" s="140">
        <v>3</v>
      </c>
      <c r="C72" s="185" t="s">
        <v>356</v>
      </c>
      <c r="D72" s="180">
        <f t="shared" si="74"/>
        <v>0.12147026788947259</v>
      </c>
      <c r="E72" s="180">
        <f t="shared" si="75"/>
        <v>0.10223310710546028</v>
      </c>
      <c r="F72" s="180">
        <f t="shared" si="76"/>
        <v>-1.9237160784012303E-2</v>
      </c>
      <c r="G72" s="352">
        <f>SUM('4. Transporte troncal'!J18:K23)</f>
        <v>6107.9872395666835</v>
      </c>
      <c r="H72" s="181">
        <f>'4. Transporte troncal'!J11+'4. Transporte troncal'!K11</f>
        <v>3059.6953395978958</v>
      </c>
      <c r="I72" s="181">
        <f t="shared" si="77"/>
        <v>-3048.2918999687877</v>
      </c>
      <c r="J72" s="180">
        <f t="shared" si="78"/>
        <v>-0.49906651412471542</v>
      </c>
      <c r="K72" s="341"/>
      <c r="L72" s="344"/>
      <c r="M72" s="344"/>
      <c r="N72" s="344"/>
      <c r="O72" s="344">
        <f t="shared" si="79"/>
        <v>0.18540992190324362</v>
      </c>
      <c r="P72" s="344">
        <f t="shared" si="80"/>
        <v>0.16014455791869101</v>
      </c>
      <c r="Q72" s="344">
        <f t="shared" si="81"/>
        <v>-2.5265363984552619E-2</v>
      </c>
      <c r="R72" s="180">
        <f t="shared" si="82"/>
        <v>-0.13626759412442543</v>
      </c>
      <c r="S72" s="184"/>
    </row>
    <row r="73" spans="2:19" ht="17.399999999999999">
      <c r="B73" s="140">
        <v>3</v>
      </c>
      <c r="C73" s="185" t="s">
        <v>357</v>
      </c>
      <c r="D73" s="180">
        <f t="shared" si="74"/>
        <v>0.20401948341542497</v>
      </c>
      <c r="E73" s="180">
        <f t="shared" si="75"/>
        <v>0.22683976249419102</v>
      </c>
      <c r="F73" s="180">
        <f t="shared" si="76"/>
        <v>2.2820279078766048E-2</v>
      </c>
      <c r="G73" s="352">
        <f t="shared" ref="G73:H73" si="86">G38</f>
        <v>10258.87587947274</v>
      </c>
      <c r="H73" s="181">
        <f t="shared" si="86"/>
        <v>6789</v>
      </c>
      <c r="I73" s="181">
        <f t="shared" si="77"/>
        <v>-3469.8758794727401</v>
      </c>
      <c r="J73" s="180">
        <f t="shared" si="78"/>
        <v>-0.3382315879672263</v>
      </c>
      <c r="K73" s="341"/>
      <c r="L73" s="344"/>
      <c r="M73" s="344"/>
      <c r="N73" s="344"/>
      <c r="O73" s="344">
        <f t="shared" si="79"/>
        <v>0.3114114848352319</v>
      </c>
      <c r="P73" s="344">
        <f t="shared" si="80"/>
        <v>0.35533649041439386</v>
      </c>
      <c r="Q73" s="344">
        <f t="shared" si="81"/>
        <v>4.3925005579161958E-2</v>
      </c>
      <c r="R73" s="180">
        <f t="shared" si="82"/>
        <v>0.14105133470720491</v>
      </c>
      <c r="S73" s="184"/>
    </row>
    <row r="74" spans="2:19" ht="17.399999999999999">
      <c r="B74" s="140">
        <v>3</v>
      </c>
      <c r="C74" s="185" t="s">
        <v>358</v>
      </c>
      <c r="D74" s="180">
        <f t="shared" si="74"/>
        <v>0.13156276923941901</v>
      </c>
      <c r="E74" s="180">
        <f t="shared" si="75"/>
        <v>0.13833596988660454</v>
      </c>
      <c r="F74" s="180">
        <f t="shared" si="76"/>
        <v>6.7732006471855344E-3</v>
      </c>
      <c r="G74" s="352">
        <f t="shared" ref="G74:H74" si="87">G40</f>
        <v>6615.4766073918527</v>
      </c>
      <c r="H74" s="181">
        <f t="shared" si="87"/>
        <v>4140.2040331628741</v>
      </c>
      <c r="I74" s="181">
        <f t="shared" si="77"/>
        <v>-2475.2725742289786</v>
      </c>
      <c r="J74" s="180">
        <f t="shared" si="78"/>
        <v>-0.37416390702118335</v>
      </c>
      <c r="K74" s="341"/>
      <c r="L74" s="344"/>
      <c r="M74" s="344"/>
      <c r="N74" s="344"/>
      <c r="O74" s="344">
        <f t="shared" si="79"/>
        <v>0.20081492528073369</v>
      </c>
      <c r="P74" s="344">
        <f t="shared" si="80"/>
        <v>0.21669841961166805</v>
      </c>
      <c r="Q74" s="344">
        <f t="shared" si="81"/>
        <v>1.5883494330934361E-2</v>
      </c>
      <c r="R74" s="180">
        <f t="shared" si="82"/>
        <v>7.9095188311972708E-2</v>
      </c>
      <c r="S74" s="184"/>
    </row>
    <row r="75" spans="2:19" ht="17.399999999999999">
      <c r="B75" s="140">
        <v>3</v>
      </c>
      <c r="C75" s="185" t="s">
        <v>359</v>
      </c>
      <c r="D75" s="180">
        <f t="shared" si="74"/>
        <v>4.4677224814516185E-2</v>
      </c>
      <c r="E75" s="180">
        <f t="shared" si="75"/>
        <v>2.6371037328129746E-2</v>
      </c>
      <c r="F75" s="180">
        <f t="shared" si="76"/>
        <v>-1.830618748638644E-2</v>
      </c>
      <c r="G75" s="352">
        <f t="shared" ref="G75:H75" si="88">G44</f>
        <v>2246.5408515820614</v>
      </c>
      <c r="H75" s="181">
        <f t="shared" si="88"/>
        <v>789.24863283286834</v>
      </c>
      <c r="I75" s="181">
        <f t="shared" si="77"/>
        <v>-1457.2922187491931</v>
      </c>
      <c r="J75" s="180">
        <f t="shared" si="78"/>
        <v>-0.6486827149049782</v>
      </c>
      <c r="K75" s="341"/>
      <c r="L75" s="344"/>
      <c r="M75" s="344"/>
      <c r="N75" s="344"/>
      <c r="O75" s="344">
        <f t="shared" si="79"/>
        <v>6.8194471845986732E-2</v>
      </c>
      <c r="P75" s="344">
        <f t="shared" si="80"/>
        <v>4.1309300229074974E-2</v>
      </c>
      <c r="Q75" s="344">
        <f t="shared" si="81"/>
        <v>-2.6885171616911757E-2</v>
      </c>
      <c r="R75" s="180">
        <f t="shared" si="82"/>
        <v>-0.39424268403501039</v>
      </c>
      <c r="S75" s="184"/>
    </row>
    <row r="76" spans="2:19" ht="17.399999999999999">
      <c r="B76" s="140">
        <v>3</v>
      </c>
      <c r="C76" s="185" t="s">
        <v>360</v>
      </c>
      <c r="D76" s="180">
        <f t="shared" si="74"/>
        <v>8.7231148301553391E-3</v>
      </c>
      <c r="E76" s="180">
        <f t="shared" si="75"/>
        <v>6.3648521068716008E-3</v>
      </c>
      <c r="F76" s="180">
        <f t="shared" si="76"/>
        <v>-2.3582627232837383E-3</v>
      </c>
      <c r="G76" s="352">
        <f>'8. Insumos y Empaque'!J63</f>
        <v>438.63140336814359</v>
      </c>
      <c r="H76" s="181">
        <f>'8. Insumos y Empaque'!J28</f>
        <v>190.49121052865613</v>
      </c>
      <c r="I76" s="181">
        <f t="shared" si="77"/>
        <v>-248.14019283948747</v>
      </c>
      <c r="J76" s="180">
        <f t="shared" si="78"/>
        <v>-0.56571460897254378</v>
      </c>
      <c r="K76" s="341"/>
      <c r="L76" s="344"/>
      <c r="M76" s="344"/>
      <c r="N76" s="344"/>
      <c r="O76" s="344">
        <f t="shared" si="79"/>
        <v>1.3314797666238604E-2</v>
      </c>
      <c r="P76" s="344">
        <f t="shared" si="80"/>
        <v>9.9703164242218433E-3</v>
      </c>
      <c r="Q76" s="344">
        <f t="shared" si="81"/>
        <v>-3.3444812420167606E-3</v>
      </c>
      <c r="R76" s="180">
        <f t="shared" si="82"/>
        <v>-0.25118528466242684</v>
      </c>
      <c r="S76" s="184"/>
    </row>
    <row r="77" spans="2:19" ht="17.399999999999999">
      <c r="B77" s="140">
        <v>3</v>
      </c>
      <c r="C77" s="185" t="s">
        <v>361</v>
      </c>
      <c r="D77" s="180">
        <f t="shared" si="74"/>
        <v>2.0818736908244689E-2</v>
      </c>
      <c r="E77" s="180">
        <f t="shared" si="75"/>
        <v>3.0928489413142052E-2</v>
      </c>
      <c r="F77" s="180">
        <f t="shared" si="76"/>
        <v>1.0109752504897363E-2</v>
      </c>
      <c r="G77" s="352">
        <f t="shared" ref="G77:H77" si="89">G48</f>
        <v>1046.8453028782287</v>
      </c>
      <c r="H77" s="181">
        <f t="shared" si="89"/>
        <v>925.64686330597988</v>
      </c>
      <c r="I77" s="181">
        <f t="shared" si="77"/>
        <v>-121.19843957224884</v>
      </c>
      <c r="J77" s="180">
        <f t="shared" si="78"/>
        <v>-0.11577492800418755</v>
      </c>
      <c r="K77" s="341"/>
      <c r="L77" s="344"/>
      <c r="M77" s="344"/>
      <c r="N77" s="344"/>
      <c r="O77" s="344">
        <f t="shared" si="79"/>
        <v>3.1777326677126363E-2</v>
      </c>
      <c r="P77" s="344">
        <f t="shared" si="80"/>
        <v>4.8448388241307858E-2</v>
      </c>
      <c r="Q77" s="344">
        <f t="shared" si="81"/>
        <v>1.6671061564181494E-2</v>
      </c>
      <c r="R77" s="180">
        <f t="shared" si="82"/>
        <v>0.52462127269445513</v>
      </c>
      <c r="S77" s="184"/>
    </row>
    <row r="78" spans="2:19" ht="17.399999999999999">
      <c r="B78" s="140">
        <v>3</v>
      </c>
      <c r="C78" s="185" t="s">
        <v>362</v>
      </c>
      <c r="D78" s="180">
        <f t="shared" si="74"/>
        <v>6.0161426228038592E-3</v>
      </c>
      <c r="E78" s="180">
        <f t="shared" si="75"/>
        <v>9.040649280045842E-3</v>
      </c>
      <c r="F78" s="180">
        <f t="shared" si="76"/>
        <v>3.0245066572419828E-3</v>
      </c>
      <c r="G78" s="352">
        <f t="shared" ref="G78:H78" si="90">G43</f>
        <v>302.51454129446199</v>
      </c>
      <c r="H78" s="181">
        <f t="shared" si="90"/>
        <v>270.5741149054632</v>
      </c>
      <c r="I78" s="181">
        <f t="shared" si="77"/>
        <v>-31.940426388998787</v>
      </c>
      <c r="J78" s="180">
        <f t="shared" si="78"/>
        <v>-0.10558311098807173</v>
      </c>
      <c r="K78" s="341"/>
      <c r="L78" s="344"/>
      <c r="M78" s="344"/>
      <c r="N78" s="344"/>
      <c r="O78" s="344">
        <f t="shared" si="79"/>
        <v>9.1829264332223583E-3</v>
      </c>
      <c r="P78" s="344">
        <f t="shared" si="80"/>
        <v>1.4161858357267377E-2</v>
      </c>
      <c r="Q78" s="344">
        <f t="shared" si="81"/>
        <v>4.9789319240450183E-3</v>
      </c>
      <c r="R78" s="180">
        <f t="shared" si="82"/>
        <v>0.54219446929597948</v>
      </c>
      <c r="S78" s="184"/>
    </row>
    <row r="79" spans="2:19" ht="17.399999999999999">
      <c r="B79" s="140">
        <v>3</v>
      </c>
      <c r="C79" s="185" t="s">
        <v>363</v>
      </c>
      <c r="D79" s="180">
        <f t="shared" si="74"/>
        <v>4.5921942644974578E-3</v>
      </c>
      <c r="E79" s="180">
        <f t="shared" si="75"/>
        <v>4.0764257028430796E-3</v>
      </c>
      <c r="F79" s="180">
        <f t="shared" si="76"/>
        <v>-5.1576856165437817E-4</v>
      </c>
      <c r="G79" s="352">
        <f>'4. Transporte troncal'!K24</f>
        <v>230.91300000000001</v>
      </c>
      <c r="H79" s="181">
        <f>'2. Distribución'!O5+'4. Transporte troncal'!Q16</f>
        <v>122.00177690324628</v>
      </c>
      <c r="I79" s="181">
        <f t="shared" si="77"/>
        <v>-108.91122309675373</v>
      </c>
      <c r="J79" s="180">
        <f t="shared" si="78"/>
        <v>-0.47165479248354891</v>
      </c>
      <c r="K79" s="341"/>
      <c r="L79" s="344"/>
      <c r="M79" s="344"/>
      <c r="N79" s="344"/>
      <c r="O79" s="344">
        <f t="shared" si="79"/>
        <v>7.00943856252735E-3</v>
      </c>
      <c r="P79" s="344">
        <f t="shared" si="80"/>
        <v>6.3855771437795533E-3</v>
      </c>
      <c r="Q79" s="344">
        <f t="shared" si="81"/>
        <v>-6.2386141874779671E-4</v>
      </c>
      <c r="R79" s="180">
        <f t="shared" si="82"/>
        <v>-8.9003051126373647E-2</v>
      </c>
      <c r="S79" s="184"/>
    </row>
    <row r="80" spans="2:19" ht="17.399999999999999">
      <c r="B80" s="140">
        <v>3</v>
      </c>
      <c r="C80" s="185" t="s">
        <v>364</v>
      </c>
      <c r="D80" s="180">
        <f t="shared" si="74"/>
        <v>1.0826687443211519E-2</v>
      </c>
      <c r="E80" s="180">
        <f t="shared" si="75"/>
        <v>1.0610400303969144E-2</v>
      </c>
      <c r="F80" s="180">
        <f t="shared" si="76"/>
        <v>-2.1628713924237535E-4</v>
      </c>
      <c r="G80" s="352">
        <f t="shared" ref="G80:H80" si="91">G47</f>
        <v>544.40703802583778</v>
      </c>
      <c r="H80" s="181">
        <f t="shared" si="91"/>
        <v>317.55458951113644</v>
      </c>
      <c r="I80" s="181">
        <f t="shared" si="77"/>
        <v>-226.85244851470134</v>
      </c>
      <c r="J80" s="180">
        <f t="shared" si="78"/>
        <v>-0.41669639198149899</v>
      </c>
      <c r="K80" s="341"/>
      <c r="L80" s="344"/>
      <c r="M80" s="344"/>
      <c r="N80" s="344"/>
      <c r="O80" s="344">
        <f t="shared" si="79"/>
        <v>1.6525651158876289E-2</v>
      </c>
      <c r="P80" s="344">
        <f t="shared" si="80"/>
        <v>1.6620817992616103E-2</v>
      </c>
      <c r="Q80" s="344">
        <f t="shared" si="81"/>
        <v>9.5166833739813994E-5</v>
      </c>
      <c r="R80" s="180">
        <f t="shared" si="82"/>
        <v>5.758734274667162E-3</v>
      </c>
      <c r="S80" s="184"/>
    </row>
    <row r="81" spans="2:26" ht="17.399999999999999">
      <c r="B81" s="140">
        <v>3</v>
      </c>
      <c r="C81" s="185" t="s">
        <v>365</v>
      </c>
      <c r="D81" s="180">
        <f t="shared" si="74"/>
        <v>2.1385572803778079E-3</v>
      </c>
      <c r="E81" s="180">
        <f t="shared" si="75"/>
        <v>2.2070861902383876E-3</v>
      </c>
      <c r="F81" s="180">
        <f t="shared" si="76"/>
        <v>6.8528909860579666E-5</v>
      </c>
      <c r="G81" s="352">
        <f t="shared" ref="G81:H81" si="92">G50</f>
        <v>107.53479684029037</v>
      </c>
      <c r="H81" s="181">
        <f t="shared" si="92"/>
        <v>66.055033653599978</v>
      </c>
      <c r="I81" s="181">
        <f t="shared" si="77"/>
        <v>-41.479763186690391</v>
      </c>
      <c r="J81" s="180">
        <f t="shared" si="78"/>
        <v>-0.38573340356327385</v>
      </c>
      <c r="K81" s="341"/>
      <c r="L81" s="344"/>
      <c r="M81" s="344"/>
      <c r="N81" s="344"/>
      <c r="O81" s="344">
        <f t="shared" si="79"/>
        <v>3.2642534278532415E-3</v>
      </c>
      <c r="P81" s="344">
        <f t="shared" si="80"/>
        <v>3.4573227032957568E-3</v>
      </c>
      <c r="Q81" s="344">
        <f t="shared" si="81"/>
        <v>1.9306927544251529E-4</v>
      </c>
      <c r="R81" s="180">
        <f t="shared" si="82"/>
        <v>5.9146533720419073E-2</v>
      </c>
      <c r="S81" s="184"/>
      <c r="T81" s="143"/>
      <c r="U81" s="143"/>
      <c r="V81" s="143"/>
      <c r="W81" s="143"/>
      <c r="X81" s="143"/>
      <c r="Y81" s="143"/>
      <c r="Z81" s="143"/>
    </row>
    <row r="82" spans="2:26" ht="17.399999999999999">
      <c r="B82" s="140">
        <v>3</v>
      </c>
      <c r="C82" s="185" t="s">
        <v>366</v>
      </c>
      <c r="D82" s="180">
        <f t="shared" si="74"/>
        <v>8.7987944987434522E-2</v>
      </c>
      <c r="E82" s="180">
        <f t="shared" si="75"/>
        <v>0.10852490036546361</v>
      </c>
      <c r="F82" s="180">
        <f t="shared" si="76"/>
        <v>2.053695537802909E-2</v>
      </c>
      <c r="G82" s="352">
        <f t="shared" ref="G82:H82" si="93">G41</f>
        <v>4424.3686505076239</v>
      </c>
      <c r="H82" s="181">
        <f t="shared" si="93"/>
        <v>3248</v>
      </c>
      <c r="I82" s="181">
        <f t="shared" si="77"/>
        <v>-1176.3686505076239</v>
      </c>
      <c r="J82" s="180">
        <f t="shared" si="78"/>
        <v>-0.26588395846549878</v>
      </c>
      <c r="K82" s="341"/>
      <c r="L82" s="344"/>
      <c r="M82" s="344"/>
      <c r="N82" s="344"/>
      <c r="O82" s="344">
        <f t="shared" si="79"/>
        <v>0.13430313682514727</v>
      </c>
      <c r="P82" s="344">
        <f t="shared" si="80"/>
        <v>0.17000043023507899</v>
      </c>
      <c r="Q82" s="344">
        <f t="shared" si="81"/>
        <v>3.5697293409931719E-2</v>
      </c>
      <c r="R82" s="180">
        <f t="shared" si="82"/>
        <v>0.26579642332857012</v>
      </c>
      <c r="S82" s="184"/>
      <c r="T82" s="143"/>
      <c r="U82" s="143"/>
      <c r="V82" s="143"/>
      <c r="W82" s="143"/>
      <c r="X82" s="143"/>
      <c r="Y82" s="143"/>
      <c r="Z82" s="143"/>
    </row>
    <row r="83" spans="2:26" ht="17.399999999999999">
      <c r="B83" s="140">
        <v>3</v>
      </c>
      <c r="C83" s="185" t="s">
        <v>367</v>
      </c>
      <c r="D83" s="180">
        <f t="shared" si="74"/>
        <v>3.0514058965547996E-2</v>
      </c>
      <c r="E83" s="180">
        <f t="shared" si="75"/>
        <v>1.8022397105689168E-2</v>
      </c>
      <c r="F83" s="180">
        <f t="shared" si="76"/>
        <v>-1.2491661859858828E-2</v>
      </c>
      <c r="G83" s="352">
        <f>'8. Insumos y Empaque'!K63</f>
        <v>1534.3629846814999</v>
      </c>
      <c r="H83" s="181">
        <f>'8. Insumos y Empaque'!K28</f>
        <v>539.38539083797991</v>
      </c>
      <c r="I83" s="181">
        <f t="shared" si="77"/>
        <v>-994.97759384352003</v>
      </c>
      <c r="J83" s="180">
        <f t="shared" si="78"/>
        <v>-0.6484629802576054</v>
      </c>
      <c r="K83" s="341"/>
      <c r="L83" s="344"/>
      <c r="M83" s="344"/>
      <c r="N83" s="344"/>
      <c r="O83" s="344">
        <f t="shared" si="79"/>
        <v>4.6576083086448436E-2</v>
      </c>
      <c r="P83" s="344">
        <f t="shared" si="80"/>
        <v>2.8231449662861091E-2</v>
      </c>
      <c r="Q83" s="344">
        <f t="shared" si="81"/>
        <v>-1.8344633423587345E-2</v>
      </c>
      <c r="R83" s="180">
        <f t="shared" si="82"/>
        <v>-0.39386380751551037</v>
      </c>
      <c r="S83" s="184"/>
      <c r="T83" s="143"/>
      <c r="U83" s="143"/>
      <c r="V83" s="143"/>
      <c r="W83" s="143"/>
      <c r="X83" s="143"/>
      <c r="Y83" s="143"/>
      <c r="Z83" s="143"/>
    </row>
    <row r="84" spans="2:26" ht="17.399999999999999">
      <c r="B84" s="140"/>
      <c r="C84" s="192" t="s">
        <v>39</v>
      </c>
      <c r="D84" s="323">
        <f t="shared" ref="D84:F84" si="94">SUM(D67:D83)</f>
        <v>0.99999999999999989</v>
      </c>
      <c r="E84" s="323">
        <f t="shared" si="94"/>
        <v>1.0000000000000002</v>
      </c>
      <c r="F84" s="156">
        <f t="shared" si="94"/>
        <v>1.3877787807814457E-16</v>
      </c>
      <c r="G84" s="324">
        <f t="shared" ref="G84:I84" si="95">+SUM(G67:G83)</f>
        <v>50283.804800071921</v>
      </c>
      <c r="H84" s="326">
        <f t="shared" si="95"/>
        <v>29928.615359813095</v>
      </c>
      <c r="I84" s="326">
        <f t="shared" si="95"/>
        <v>-20355.189440258822</v>
      </c>
      <c r="J84" s="327">
        <f t="shared" si="78"/>
        <v>-0.40480607068599767</v>
      </c>
      <c r="K84" s="328"/>
      <c r="L84" s="329"/>
      <c r="M84" s="329"/>
      <c r="N84" s="329"/>
      <c r="O84" s="330">
        <f t="shared" ref="O84:P84" si="96">+SUM(O67:O83)</f>
        <v>1.5263811064609702</v>
      </c>
      <c r="P84" s="331">
        <f t="shared" si="96"/>
        <v>1.566464743691016</v>
      </c>
      <c r="Q84" s="331">
        <f>+P84-O84</f>
        <v>4.008363723004571E-2</v>
      </c>
      <c r="R84" s="156">
        <f t="shared" si="82"/>
        <v>2.6260569565737517E-2</v>
      </c>
      <c r="S84" s="171"/>
      <c r="T84" s="143"/>
      <c r="U84" s="143"/>
      <c r="V84" s="143"/>
      <c r="W84" s="143"/>
      <c r="X84" s="143"/>
      <c r="Y84" s="143"/>
      <c r="Z84" s="143"/>
    </row>
    <row r="85" spans="2:26" ht="17.399999999999999">
      <c r="B85" s="140"/>
      <c r="C85" s="143"/>
      <c r="D85" s="275"/>
      <c r="E85" s="275"/>
      <c r="F85" s="140"/>
      <c r="G85" s="162"/>
      <c r="H85" s="162"/>
      <c r="I85" s="162"/>
      <c r="J85" s="162"/>
      <c r="K85" s="162"/>
      <c r="L85" s="163"/>
      <c r="M85" s="163"/>
      <c r="N85" s="163"/>
      <c r="O85" s="172"/>
      <c r="P85" s="172"/>
      <c r="Q85" s="172"/>
      <c r="R85" s="172"/>
      <c r="S85" s="172"/>
      <c r="T85" s="143"/>
      <c r="U85" s="143"/>
      <c r="V85" s="143"/>
      <c r="W85" s="143"/>
      <c r="X85" s="143"/>
      <c r="Y85" s="143"/>
      <c r="Z85" s="143"/>
    </row>
    <row r="86" spans="2:26" ht="17.399999999999999">
      <c r="B86" s="140"/>
      <c r="C86" s="140"/>
      <c r="D86" s="140"/>
      <c r="E86" s="140"/>
      <c r="F86" s="140"/>
      <c r="G86" s="140"/>
      <c r="H86" s="140"/>
      <c r="I86" s="140"/>
      <c r="J86" s="140"/>
      <c r="K86" s="140"/>
      <c r="L86" s="172"/>
      <c r="M86" s="172"/>
      <c r="N86" s="172"/>
      <c r="O86" s="172"/>
      <c r="P86" s="172"/>
      <c r="Q86" s="172"/>
      <c r="R86" s="172"/>
      <c r="S86" s="172"/>
      <c r="T86" s="143"/>
      <c r="U86" s="143"/>
      <c r="V86" s="143"/>
      <c r="W86" s="143"/>
      <c r="X86" s="143"/>
      <c r="Y86" s="143"/>
      <c r="Z86" s="143"/>
    </row>
    <row r="87" spans="2:26" ht="18">
      <c r="B87" s="140"/>
      <c r="C87" s="146" t="s">
        <v>368</v>
      </c>
      <c r="D87" s="141"/>
      <c r="E87" s="141"/>
      <c r="F87" s="141"/>
      <c r="G87" s="141"/>
      <c r="H87" s="141"/>
      <c r="I87" s="141"/>
      <c r="J87" s="141"/>
      <c r="K87" s="141"/>
      <c r="L87" s="142"/>
      <c r="M87" s="142"/>
      <c r="N87" s="142"/>
      <c r="O87" s="142"/>
      <c r="P87" s="142"/>
      <c r="Q87" s="142"/>
      <c r="R87" s="142"/>
      <c r="S87" s="142"/>
      <c r="T87" s="365"/>
      <c r="U87" s="365"/>
      <c r="V87" s="365"/>
      <c r="W87" s="365"/>
      <c r="X87" s="365"/>
      <c r="Y87" s="365"/>
      <c r="Z87" s="143"/>
    </row>
    <row r="88" spans="2:26" ht="17.399999999999999">
      <c r="B88" s="147"/>
      <c r="C88" s="1447" t="s">
        <v>369</v>
      </c>
      <c r="D88" s="1433" t="s">
        <v>370</v>
      </c>
      <c r="E88" s="1434"/>
      <c r="F88" s="1434"/>
      <c r="G88" s="1434"/>
      <c r="H88" s="1435"/>
      <c r="I88" s="1433" t="s">
        <v>371</v>
      </c>
      <c r="J88" s="1434"/>
      <c r="K88" s="1434"/>
      <c r="L88" s="1434"/>
      <c r="M88" s="1434"/>
      <c r="N88" s="1434"/>
      <c r="O88" s="1434"/>
      <c r="P88" s="1435"/>
      <c r="Q88" s="1433" t="s">
        <v>372</v>
      </c>
      <c r="R88" s="1434"/>
      <c r="S88" s="1434"/>
      <c r="T88" s="1434"/>
      <c r="U88" s="1435"/>
      <c r="V88" s="1433" t="s">
        <v>373</v>
      </c>
      <c r="W88" s="1434"/>
      <c r="X88" s="1434"/>
      <c r="Y88" s="1434"/>
      <c r="Z88" s="1435"/>
    </row>
    <row r="89" spans="2:26" ht="17.399999999999999">
      <c r="B89" s="147"/>
      <c r="C89" s="1448"/>
      <c r="D89" s="366" t="s">
        <v>374</v>
      </c>
      <c r="E89" s="367">
        <v>2021</v>
      </c>
      <c r="F89" s="367">
        <v>2022</v>
      </c>
      <c r="G89" s="367" t="s">
        <v>299</v>
      </c>
      <c r="H89" s="367" t="s">
        <v>300</v>
      </c>
      <c r="I89" s="366" t="s">
        <v>374</v>
      </c>
      <c r="J89" s="367">
        <v>2021</v>
      </c>
      <c r="K89" s="367">
        <v>2022</v>
      </c>
      <c r="L89" s="367"/>
      <c r="M89" s="367"/>
      <c r="N89" s="367"/>
      <c r="O89" s="367" t="s">
        <v>299</v>
      </c>
      <c r="P89" s="367" t="s">
        <v>300</v>
      </c>
      <c r="Q89" s="366" t="s">
        <v>374</v>
      </c>
      <c r="R89" s="367">
        <v>2021</v>
      </c>
      <c r="S89" s="367">
        <v>2022</v>
      </c>
      <c r="T89" s="367" t="s">
        <v>299</v>
      </c>
      <c r="U89" s="367" t="s">
        <v>300</v>
      </c>
      <c r="V89" s="366" t="s">
        <v>374</v>
      </c>
      <c r="W89" s="367">
        <v>2021</v>
      </c>
      <c r="X89" s="367">
        <v>2022</v>
      </c>
      <c r="Y89" s="367" t="s">
        <v>299</v>
      </c>
      <c r="Z89" s="367" t="s">
        <v>300</v>
      </c>
    </row>
    <row r="90" spans="2:26" ht="17.399999999999999">
      <c r="B90" s="368"/>
      <c r="C90" s="369" t="s">
        <v>375</v>
      </c>
      <c r="D90" s="370" t="s">
        <v>376</v>
      </c>
      <c r="E90" s="371">
        <f>'2. Distribución'!C38</f>
        <v>42162803</v>
      </c>
      <c r="F90" s="371">
        <f>'2. Distribución'!D38</f>
        <v>30753064</v>
      </c>
      <c r="G90" s="371">
        <f t="shared" ref="G90:G97" si="97">F90-E90</f>
        <v>-11409739</v>
      </c>
      <c r="H90" s="372">
        <f t="shared" ref="H90:H93" si="98">G90/E90</f>
        <v>-0.27061149136597962</v>
      </c>
      <c r="I90" s="370" t="s">
        <v>377</v>
      </c>
      <c r="J90" s="373">
        <f>'2. Distribución'!C39</f>
        <v>1.2798654785674426</v>
      </c>
      <c r="K90" s="374">
        <f>'2. Distribución'!D39</f>
        <v>1.6096164134996671</v>
      </c>
      <c r="L90" s="374"/>
      <c r="M90" s="374"/>
      <c r="N90" s="374"/>
      <c r="O90" s="374">
        <f t="shared" ref="O90:O97" si="99">K90-J90</f>
        <v>0.32975093493222452</v>
      </c>
      <c r="P90" s="372">
        <f t="shared" ref="P90:P97" si="100">O90/J90</f>
        <v>0.25764499508285493</v>
      </c>
      <c r="Q90" s="375" t="s">
        <v>378</v>
      </c>
      <c r="R90" s="376">
        <v>0</v>
      </c>
      <c r="S90" s="377">
        <f>'2. Distribución'!D48</f>
        <v>5.129323326058418E-3</v>
      </c>
      <c r="T90" s="374">
        <f t="shared" ref="T90:T91" si="101">S90-R90</f>
        <v>5.129323326058418E-3</v>
      </c>
      <c r="U90" s="372">
        <v>1</v>
      </c>
      <c r="V90" s="375" t="s">
        <v>379</v>
      </c>
      <c r="W90" s="378">
        <f>'2. Distribución'!C45</f>
        <v>0</v>
      </c>
      <c r="X90" s="379">
        <f>'2. Distribución'!D45</f>
        <v>430662</v>
      </c>
      <c r="Y90" s="371">
        <f t="shared" ref="Y90:Y91" si="102">X90-W90</f>
        <v>430662</v>
      </c>
      <c r="Z90" s="372">
        <v>1</v>
      </c>
    </row>
    <row r="91" spans="2:26" ht="17.399999999999999">
      <c r="B91" s="368"/>
      <c r="C91" s="369" t="s">
        <v>83</v>
      </c>
      <c r="D91" s="370" t="s">
        <v>380</v>
      </c>
      <c r="E91" s="371">
        <f>'3. Transporte aéreo'!C11</f>
        <v>4316623</v>
      </c>
      <c r="F91" s="371">
        <f>'3. Transporte aéreo'!D11</f>
        <v>3270844</v>
      </c>
      <c r="G91" s="371">
        <f t="shared" si="97"/>
        <v>-1045779</v>
      </c>
      <c r="H91" s="372">
        <f t="shared" si="98"/>
        <v>-0.2422678561458807</v>
      </c>
      <c r="I91" s="370" t="s">
        <v>381</v>
      </c>
      <c r="J91" s="373">
        <f>'3. Transporte aéreo'!C26</f>
        <v>0.13103248286624183</v>
      </c>
      <c r="K91" s="374">
        <f>'3. Transporte aéreo'!D26</f>
        <v>0.17119608597038999</v>
      </c>
      <c r="L91" s="374"/>
      <c r="M91" s="374"/>
      <c r="N91" s="374"/>
      <c r="O91" s="374">
        <f t="shared" si="99"/>
        <v>4.0163603104148154E-2</v>
      </c>
      <c r="P91" s="372">
        <f t="shared" si="100"/>
        <v>0.30651638605632792</v>
      </c>
      <c r="Q91" s="375" t="s">
        <v>382</v>
      </c>
      <c r="R91" s="380">
        <f>'3. Transporte aéreo'!C14</f>
        <v>0.38176301242892879</v>
      </c>
      <c r="S91" s="381">
        <f>'3. Transporte aéreo'!D14</f>
        <v>0.33608267468579978</v>
      </c>
      <c r="T91" s="374">
        <f t="shared" si="101"/>
        <v>-4.5680337743129018E-2</v>
      </c>
      <c r="U91" s="372">
        <f>T91</f>
        <v>-4.5680337743129018E-2</v>
      </c>
      <c r="V91" s="375" t="s">
        <v>383</v>
      </c>
      <c r="W91" s="373">
        <f>'3. Transporte aéreo'!C61</f>
        <v>2.3763946955756849</v>
      </c>
      <c r="X91" s="373">
        <f>'3. Transporte aéreo'!D61</f>
        <v>2.0756110655231494</v>
      </c>
      <c r="Y91" s="374">
        <f t="shared" si="102"/>
        <v>-0.3007836300525355</v>
      </c>
      <c r="Z91" s="372">
        <f>Y91/W91</f>
        <v>-0.1265714111433287</v>
      </c>
    </row>
    <row r="92" spans="2:26" ht="17.399999999999999">
      <c r="B92" s="382"/>
      <c r="C92" s="383" t="s">
        <v>269</v>
      </c>
      <c r="D92" s="384" t="s">
        <v>384</v>
      </c>
      <c r="E92" s="385">
        <f>'4. Transporte troncal'!C31</f>
        <v>13897306</v>
      </c>
      <c r="F92" s="385">
        <f>'4. Transporte troncal'!D31</f>
        <v>6860911</v>
      </c>
      <c r="G92" s="385">
        <f t="shared" si="97"/>
        <v>-7036395</v>
      </c>
      <c r="H92" s="386">
        <f t="shared" si="98"/>
        <v>-0.50631359775772367</v>
      </c>
      <c r="I92" s="384" t="s">
        <v>377</v>
      </c>
      <c r="J92" s="387">
        <f>'4. Transporte troncal'!C32</f>
        <v>0.42185720419223999</v>
      </c>
      <c r="K92" s="388">
        <f>'4. Transporte troncal'!D32</f>
        <v>0.35910031459500802</v>
      </c>
      <c r="L92" s="388"/>
      <c r="M92" s="388"/>
      <c r="N92" s="388"/>
      <c r="O92" s="388">
        <f t="shared" si="99"/>
        <v>-6.2756889597231968E-2</v>
      </c>
      <c r="P92" s="386">
        <f t="shared" si="100"/>
        <v>-0.14876334687088502</v>
      </c>
      <c r="Q92" s="389"/>
      <c r="R92" s="387"/>
      <c r="S92" s="388"/>
      <c r="T92" s="388"/>
      <c r="U92" s="386"/>
      <c r="V92" s="389"/>
      <c r="W92" s="387"/>
      <c r="X92" s="388"/>
      <c r="Y92" s="388"/>
      <c r="Z92" s="386"/>
    </row>
    <row r="93" spans="2:26" ht="17.399999999999999">
      <c r="B93" s="368"/>
      <c r="C93" s="369" t="s">
        <v>273</v>
      </c>
      <c r="D93" s="370" t="s">
        <v>385</v>
      </c>
      <c r="E93" s="371">
        <f>'5. Bienes y servicios'!B40</f>
        <v>16301080658</v>
      </c>
      <c r="F93" s="371">
        <f>'5. Bienes y servicios'!C40</f>
        <v>14978136314</v>
      </c>
      <c r="G93" s="371">
        <f t="shared" si="97"/>
        <v>-1322944344</v>
      </c>
      <c r="H93" s="372">
        <f t="shared" si="98"/>
        <v>-8.1156849153478983E-2</v>
      </c>
      <c r="I93" s="370" t="s">
        <v>386</v>
      </c>
      <c r="J93" s="378">
        <f>'5. Bienes y servicios'!B41</f>
        <v>759</v>
      </c>
      <c r="K93" s="371">
        <f>'5. Bienes y servicios'!C41</f>
        <v>886</v>
      </c>
      <c r="L93" s="374"/>
      <c r="M93" s="374"/>
      <c r="N93" s="374"/>
      <c r="O93" s="374">
        <f t="shared" si="99"/>
        <v>127</v>
      </c>
      <c r="P93" s="372">
        <f t="shared" si="100"/>
        <v>0.16732542819499341</v>
      </c>
      <c r="Q93" s="375" t="s">
        <v>387</v>
      </c>
      <c r="R93" s="378">
        <f>'5. Bienes y servicios'!B42</f>
        <v>21477049.615283266</v>
      </c>
      <c r="S93" s="379">
        <f>'5. Bienes y servicios'!C42</f>
        <v>16905345.726862304</v>
      </c>
      <c r="T93" s="379">
        <f t="shared" ref="T93:T95" si="103">S93-R93</f>
        <v>-4571703.8884209618</v>
      </c>
      <c r="U93" s="372">
        <f>T93/R93</f>
        <v>-0.21286461456827363</v>
      </c>
      <c r="V93" s="375" t="s">
        <v>325</v>
      </c>
      <c r="W93" s="376" t="s">
        <v>325</v>
      </c>
      <c r="X93" s="377" t="s">
        <v>325</v>
      </c>
      <c r="Y93" s="374" t="s">
        <v>325</v>
      </c>
      <c r="Z93" s="390" t="s">
        <v>388</v>
      </c>
    </row>
    <row r="94" spans="2:26" ht="17.399999999999999">
      <c r="B94" s="368"/>
      <c r="C94" s="369" t="s">
        <v>242</v>
      </c>
      <c r="D94" s="370" t="s">
        <v>389</v>
      </c>
      <c r="E94" s="391">
        <f>'6. Traslado colaboradores'!B55</f>
        <v>0.67772499999999991</v>
      </c>
      <c r="F94" s="391">
        <f>'6. Traslado colaboradores'!C55</f>
        <v>0.73662600000000011</v>
      </c>
      <c r="G94" s="391">
        <f t="shared" si="97"/>
        <v>5.8901000000000203E-2</v>
      </c>
      <c r="H94" s="372">
        <f>G94</f>
        <v>5.8901000000000203E-2</v>
      </c>
      <c r="I94" s="370" t="s">
        <v>390</v>
      </c>
      <c r="J94" s="378">
        <f>'6. Traslado colaboradores'!B56</f>
        <v>27.551423386368224</v>
      </c>
      <c r="K94" s="371">
        <f>'6. Traslado colaboradores'!C56</f>
        <v>23.496470963250033</v>
      </c>
      <c r="L94" s="371"/>
      <c r="M94" s="371"/>
      <c r="N94" s="371"/>
      <c r="O94" s="371">
        <f t="shared" si="99"/>
        <v>-4.0549524231181913</v>
      </c>
      <c r="P94" s="372">
        <f t="shared" si="100"/>
        <v>-0.14717760190656731</v>
      </c>
      <c r="Q94" s="375" t="s">
        <v>391</v>
      </c>
      <c r="R94" s="380">
        <f>'6. Traslado colaboradores'!B57</f>
        <v>0.50339999999999996</v>
      </c>
      <c r="S94" s="381">
        <f>'6. Traslado colaboradores'!C57</f>
        <v>0.58433000000000002</v>
      </c>
      <c r="T94" s="391">
        <f t="shared" si="103"/>
        <v>8.0930000000000057E-2</v>
      </c>
      <c r="U94" s="372">
        <f t="shared" ref="U94:U95" si="104">T94</f>
        <v>8.0930000000000057E-2</v>
      </c>
      <c r="V94" s="375" t="s">
        <v>392</v>
      </c>
      <c r="W94" s="392">
        <f>'6. Traslado colaboradores'!B58</f>
        <v>5.8774139378673382</v>
      </c>
      <c r="X94" s="393">
        <f>'6. Traslado colaboradores'!C58</f>
        <v>5.4491615706604248</v>
      </c>
      <c r="Y94" s="391">
        <f t="shared" ref="Y94:Y95" si="105">X94-W94</f>
        <v>-0.4282523672069134</v>
      </c>
      <c r="Z94" s="372">
        <f t="shared" ref="Z94:Z95" si="106">Y94/W94</f>
        <v>-7.2864081334776273E-2</v>
      </c>
    </row>
    <row r="95" spans="2:26" ht="17.399999999999999">
      <c r="B95" s="368"/>
      <c r="C95" s="369" t="s">
        <v>393</v>
      </c>
      <c r="D95" s="370" t="s">
        <v>394</v>
      </c>
      <c r="E95" s="371">
        <f>'7. Energia Electrica'!P16</f>
        <v>5497449</v>
      </c>
      <c r="F95" s="371">
        <f>'7. Energia Electrica'!W16</f>
        <v>4917011.0476593031</v>
      </c>
      <c r="G95" s="371">
        <f t="shared" si="97"/>
        <v>-580437.95234069694</v>
      </c>
      <c r="H95" s="372">
        <f t="shared" ref="H95:H97" si="107">G95/E95</f>
        <v>-0.10558314453498285</v>
      </c>
      <c r="I95" s="370" t="s">
        <v>395</v>
      </c>
      <c r="J95" s="373">
        <f>'7. Energia Electrica'!O38</f>
        <v>0.16687683680055873</v>
      </c>
      <c r="K95" s="374">
        <f>'7. Energia Electrica'!P38</f>
        <v>0.25735652511475304</v>
      </c>
      <c r="L95" s="374"/>
      <c r="M95" s="374"/>
      <c r="N95" s="374"/>
      <c r="O95" s="374">
        <f t="shared" si="99"/>
        <v>9.0479688314194312E-2</v>
      </c>
      <c r="P95" s="372">
        <f t="shared" si="100"/>
        <v>0.5421944114528624</v>
      </c>
      <c r="Q95" s="375" t="s">
        <v>396</v>
      </c>
      <c r="R95" s="391">
        <f>'7. Energia Electrica'!O40</f>
        <v>0.28027454188297152</v>
      </c>
      <c r="S95" s="391">
        <f>'7. Energia Electrica'!P40</f>
        <v>0.28986532391024156</v>
      </c>
      <c r="T95" s="391">
        <f t="shared" si="103"/>
        <v>9.5907820272700395E-3</v>
      </c>
      <c r="U95" s="372">
        <f t="shared" si="104"/>
        <v>9.5907820272700395E-3</v>
      </c>
      <c r="V95" s="375" t="s">
        <v>397</v>
      </c>
      <c r="W95" s="378">
        <f>'7. Energia Electrica'!O44</f>
        <v>22347.353658536584</v>
      </c>
      <c r="X95" s="379">
        <f>'7. Energia Electrica'!P44</f>
        <v>21285.762111079235</v>
      </c>
      <c r="Y95" s="371">
        <f t="shared" si="105"/>
        <v>-1061.5915474573485</v>
      </c>
      <c r="Z95" s="372">
        <f t="shared" si="106"/>
        <v>-4.7504127946345252E-2</v>
      </c>
    </row>
    <row r="96" spans="2:26" ht="17.399999999999999">
      <c r="B96" s="368"/>
      <c r="C96" s="369" t="s">
        <v>282</v>
      </c>
      <c r="D96" s="370" t="s">
        <v>398</v>
      </c>
      <c r="E96" s="373">
        <f>'8. Insumos y Empaque'!C156</f>
        <v>3.5509656149478354E-2</v>
      </c>
      <c r="F96" s="373">
        <f>'8. Insumos y Empaque'!D156</f>
        <v>4.1813242646199053E-2</v>
      </c>
      <c r="G96" s="374">
        <f t="shared" si="97"/>
        <v>6.3035864967206992E-3</v>
      </c>
      <c r="H96" s="372">
        <f t="shared" si="107"/>
        <v>0.17751753129305647</v>
      </c>
      <c r="I96" s="394" t="s">
        <v>399</v>
      </c>
      <c r="J96" s="373">
        <f>'8. Insumos y Empaque'!C157</f>
        <v>2.5699423054600237E-2</v>
      </c>
      <c r="K96" s="374">
        <f>'8. Insumos y Empaque'!D157</f>
        <v>1.5389194734969433E-2</v>
      </c>
      <c r="L96" s="374"/>
      <c r="M96" s="374"/>
      <c r="N96" s="374"/>
      <c r="O96" s="374">
        <f t="shared" si="99"/>
        <v>-1.0310228319630804E-2</v>
      </c>
      <c r="P96" s="372">
        <f t="shared" si="100"/>
        <v>-0.40118520550932202</v>
      </c>
      <c r="Q96" s="395" t="s">
        <v>325</v>
      </c>
      <c r="R96" s="377" t="s">
        <v>325</v>
      </c>
      <c r="S96" s="374" t="s">
        <v>325</v>
      </c>
      <c r="T96" s="396" t="s">
        <v>325</v>
      </c>
      <c r="U96" s="397" t="s">
        <v>325</v>
      </c>
      <c r="V96" s="398" t="s">
        <v>325</v>
      </c>
      <c r="W96" s="399" t="s">
        <v>325</v>
      </c>
      <c r="X96" s="399" t="s">
        <v>325</v>
      </c>
      <c r="Y96" s="399" t="s">
        <v>325</v>
      </c>
      <c r="Z96" s="397" t="s">
        <v>325</v>
      </c>
    </row>
    <row r="97" spans="3:26" ht="17.399999999999999">
      <c r="C97" s="369" t="s">
        <v>341</v>
      </c>
      <c r="D97" s="370" t="s">
        <v>400</v>
      </c>
      <c r="E97" s="373">
        <f>'9. Residuos'!D53</f>
        <v>3.7614038875211454E-2</v>
      </c>
      <c r="F97" s="373">
        <f>'9. Residuos'!E53</f>
        <v>4.3065379925314971E-2</v>
      </c>
      <c r="G97" s="374">
        <f t="shared" si="97"/>
        <v>5.451341050103517E-3</v>
      </c>
      <c r="H97" s="372">
        <f t="shared" si="107"/>
        <v>0.14492836220510424</v>
      </c>
      <c r="I97" s="394" t="s">
        <v>401</v>
      </c>
      <c r="J97" s="373">
        <f>'9. Residuos'!D56</f>
        <v>2.0157603619714352E-2</v>
      </c>
      <c r="K97" s="373">
        <f>'9. Residuos'!E56</f>
        <v>1.9251187883240272E-2</v>
      </c>
      <c r="L97" s="374"/>
      <c r="M97" s="374"/>
      <c r="N97" s="374"/>
      <c r="O97" s="374">
        <f t="shared" si="99"/>
        <v>-9.0641573647408033E-4</v>
      </c>
      <c r="P97" s="372">
        <f t="shared" si="100"/>
        <v>-4.496644311368421E-2</v>
      </c>
      <c r="Q97" s="400" t="s">
        <v>402</v>
      </c>
      <c r="R97" s="391">
        <f>'9. Residuos'!D55</f>
        <v>0.46409361444567732</v>
      </c>
      <c r="S97" s="391">
        <f>'9. Residuos'!E55</f>
        <v>0.55297763733592598</v>
      </c>
      <c r="T97" s="391">
        <f>S97-R97</f>
        <v>8.888402289024866E-2</v>
      </c>
      <c r="U97" s="372">
        <f>T97</f>
        <v>8.888402289024866E-2</v>
      </c>
      <c r="V97" s="401" t="s">
        <v>325</v>
      </c>
      <c r="W97" s="402" t="s">
        <v>325</v>
      </c>
      <c r="X97" s="402" t="s">
        <v>325</v>
      </c>
      <c r="Y97" s="402" t="s">
        <v>325</v>
      </c>
      <c r="Z97" s="397" t="s">
        <v>325</v>
      </c>
    </row>
    <row r="98" spans="3:26" ht="17.399999999999999">
      <c r="C98" s="403" t="s">
        <v>342</v>
      </c>
      <c r="D98" s="404"/>
      <c r="E98" s="405"/>
      <c r="F98" s="405"/>
      <c r="G98" s="406"/>
      <c r="H98" s="407"/>
      <c r="I98" s="408"/>
      <c r="J98" s="409"/>
      <c r="K98" s="409"/>
      <c r="L98" s="406"/>
      <c r="M98" s="406"/>
      <c r="N98" s="406"/>
      <c r="O98" s="406"/>
      <c r="P98" s="410"/>
      <c r="Q98" s="411"/>
      <c r="R98" s="412"/>
      <c r="S98" s="413"/>
      <c r="T98" s="414"/>
      <c r="U98" s="415"/>
      <c r="V98" s="416"/>
      <c r="W98" s="417"/>
      <c r="X98" s="417"/>
      <c r="Y98" s="417"/>
      <c r="Z98" s="418"/>
    </row>
  </sheetData>
  <mergeCells count="33">
    <mergeCell ref="C65:C66"/>
    <mergeCell ref="D65:F65"/>
    <mergeCell ref="G65:K65"/>
    <mergeCell ref="O65:S65"/>
    <mergeCell ref="C88:C89"/>
    <mergeCell ref="D88:H88"/>
    <mergeCell ref="I88:P88"/>
    <mergeCell ref="Q88:U88"/>
    <mergeCell ref="V88:Z88"/>
    <mergeCell ref="D56:F56"/>
    <mergeCell ref="G56:K56"/>
    <mergeCell ref="K42:K43"/>
    <mergeCell ref="S42:S43"/>
    <mergeCell ref="K44:K46"/>
    <mergeCell ref="S44:S46"/>
    <mergeCell ref="C56:C57"/>
    <mergeCell ref="O56:S56"/>
    <mergeCell ref="C20:C21"/>
    <mergeCell ref="D20:F20"/>
    <mergeCell ref="G20:N20"/>
    <mergeCell ref="O20:S20"/>
    <mergeCell ref="C35:C36"/>
    <mergeCell ref="D35:F35"/>
    <mergeCell ref="G35:K35"/>
    <mergeCell ref="O35:S35"/>
    <mergeCell ref="C3:C5"/>
    <mergeCell ref="D3:F3"/>
    <mergeCell ref="G3:K3"/>
    <mergeCell ref="O3:S3"/>
    <mergeCell ref="D11:F11"/>
    <mergeCell ref="G11:K11"/>
    <mergeCell ref="O11:S11"/>
    <mergeCell ref="C11:C12"/>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2"/>
  <sheetViews>
    <sheetView zoomScale="99" zoomScaleNormal="99" workbookViewId="0"/>
  </sheetViews>
  <sheetFormatPr baseColWidth="10" defaultColWidth="12.6640625" defaultRowHeight="15" customHeight="1"/>
  <cols>
    <col min="1" max="1" width="22.5546875" customWidth="1"/>
  </cols>
  <sheetData>
    <row r="1" spans="1:14" ht="15" customHeight="1">
      <c r="A1" s="420" t="s">
        <v>403</v>
      </c>
      <c r="B1" s="421" t="s">
        <v>404</v>
      </c>
      <c r="C1" s="421" t="s">
        <v>405</v>
      </c>
      <c r="D1" s="421" t="s">
        <v>406</v>
      </c>
      <c r="E1" s="421" t="s">
        <v>407</v>
      </c>
      <c r="F1" s="421" t="s">
        <v>408</v>
      </c>
      <c r="G1" s="421" t="s">
        <v>409</v>
      </c>
      <c r="H1" s="421" t="s">
        <v>410</v>
      </c>
      <c r="I1" s="421" t="s">
        <v>411</v>
      </c>
      <c r="J1" s="421" t="s">
        <v>412</v>
      </c>
      <c r="K1" s="421" t="s">
        <v>413</v>
      </c>
      <c r="L1" s="421" t="s">
        <v>414</v>
      </c>
      <c r="M1" s="421" t="s">
        <v>415</v>
      </c>
      <c r="N1" s="422" t="s">
        <v>87</v>
      </c>
    </row>
    <row r="2" spans="1:14" ht="15" customHeight="1">
      <c r="A2" s="420" t="s">
        <v>416</v>
      </c>
      <c r="B2" s="423">
        <v>1570029</v>
      </c>
      <c r="C2" s="423">
        <v>1405041</v>
      </c>
      <c r="D2" s="423">
        <v>1534834</v>
      </c>
      <c r="E2" s="423">
        <v>1451744</v>
      </c>
      <c r="F2" s="423">
        <v>1441651</v>
      </c>
      <c r="G2" s="423">
        <v>1522102</v>
      </c>
      <c r="H2" s="423">
        <v>1265657</v>
      </c>
      <c r="I2" s="423">
        <v>1313760</v>
      </c>
      <c r="J2" s="423">
        <v>1128292</v>
      </c>
      <c r="K2" s="423">
        <v>1374975</v>
      </c>
      <c r="L2" s="423">
        <v>1221741</v>
      </c>
      <c r="M2" s="423">
        <v>1529817</v>
      </c>
      <c r="N2" s="424">
        <v>16759643</v>
      </c>
    </row>
    <row r="3" spans="1:14" ht="15" customHeight="1">
      <c r="A3" s="420" t="s">
        <v>417</v>
      </c>
      <c r="B3" s="423">
        <v>199250</v>
      </c>
      <c r="C3" s="423">
        <v>176648</v>
      </c>
      <c r="D3" s="423">
        <v>237526</v>
      </c>
      <c r="E3" s="423">
        <v>199281</v>
      </c>
      <c r="F3" s="423">
        <v>214697</v>
      </c>
      <c r="G3" s="423">
        <v>185027</v>
      </c>
      <c r="H3" s="423">
        <v>186969</v>
      </c>
      <c r="I3" s="423">
        <v>202981</v>
      </c>
      <c r="J3" s="423">
        <v>179265</v>
      </c>
      <c r="K3" s="423">
        <v>178750</v>
      </c>
      <c r="L3" s="423">
        <v>191116</v>
      </c>
      <c r="M3" s="423">
        <v>194681</v>
      </c>
      <c r="N3" s="424">
        <v>2346191</v>
      </c>
    </row>
    <row r="4" spans="1:14" ht="15" customHeight="1">
      <c r="A4" s="420" t="s">
        <v>87</v>
      </c>
      <c r="B4" s="423">
        <v>1769279</v>
      </c>
      <c r="C4" s="423">
        <v>1581689</v>
      </c>
      <c r="D4" s="423">
        <v>1772360</v>
      </c>
      <c r="E4" s="423">
        <v>1651025</v>
      </c>
      <c r="F4" s="423">
        <v>1656348</v>
      </c>
      <c r="G4" s="423">
        <v>1707129</v>
      </c>
      <c r="H4" s="423">
        <v>1452626</v>
      </c>
      <c r="I4" s="423">
        <v>1516741</v>
      </c>
      <c r="J4" s="423">
        <v>1307557</v>
      </c>
      <c r="K4" s="423">
        <v>1553725</v>
      </c>
      <c r="L4" s="423">
        <v>1412857</v>
      </c>
      <c r="M4" s="423">
        <v>1724498</v>
      </c>
      <c r="N4" s="424">
        <v>19105834</v>
      </c>
    </row>
    <row r="5" spans="1:14" ht="13.2">
      <c r="N5" s="425"/>
    </row>
    <row r="6" spans="1:14" ht="13.2">
      <c r="N6" s="425"/>
    </row>
    <row r="7" spans="1:14" ht="15" customHeight="1">
      <c r="A7" s="420" t="s">
        <v>418</v>
      </c>
      <c r="B7" s="423">
        <v>2647774</v>
      </c>
      <c r="C7" s="423">
        <v>2330302</v>
      </c>
      <c r="D7" s="423">
        <v>2764544</v>
      </c>
      <c r="E7" s="423">
        <v>2749646</v>
      </c>
      <c r="F7" s="423">
        <v>3536982</v>
      </c>
      <c r="G7" s="423">
        <v>3651844</v>
      </c>
      <c r="H7" s="423">
        <v>2949034</v>
      </c>
      <c r="I7" s="423">
        <v>2544053</v>
      </c>
      <c r="J7" s="423">
        <v>2337380</v>
      </c>
      <c r="K7" s="423">
        <v>2383714</v>
      </c>
      <c r="L7" s="423">
        <v>2367896</v>
      </c>
      <c r="M7" s="423">
        <v>2679983</v>
      </c>
      <c r="N7" s="424">
        <f>SUM(B7:M7)</f>
        <v>32943152</v>
      </c>
    </row>
    <row r="8" spans="1:14" ht="13.2">
      <c r="N8" s="425"/>
    </row>
    <row r="9" spans="1:14" ht="13.2">
      <c r="N9" s="425"/>
    </row>
    <row r="10" spans="1:14" ht="15" customHeight="1">
      <c r="A10" s="1449" t="s">
        <v>227</v>
      </c>
      <c r="B10" s="1393"/>
      <c r="N10" s="425"/>
    </row>
    <row r="11" spans="1:14" ht="15" customHeight="1">
      <c r="A11" s="426">
        <v>2021</v>
      </c>
      <c r="B11" s="427">
        <v>32943152</v>
      </c>
      <c r="N11" s="425"/>
    </row>
    <row r="12" spans="1:14" ht="15" customHeight="1">
      <c r="A12" s="426">
        <v>2022</v>
      </c>
      <c r="B12" s="427">
        <v>19105834</v>
      </c>
      <c r="N12" s="425"/>
    </row>
  </sheetData>
  <mergeCells count="1">
    <mergeCell ref="A10:B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FF"/>
  </sheetPr>
  <dimension ref="A1:Q55"/>
  <sheetViews>
    <sheetView showGridLines="0" workbookViewId="0"/>
  </sheetViews>
  <sheetFormatPr baseColWidth="10" defaultColWidth="12.6640625" defaultRowHeight="13.2"/>
  <cols>
    <col min="1" max="1" width="59.6640625" bestFit="1" customWidth="1"/>
    <col min="2" max="2" width="34.5546875" bestFit="1" customWidth="1"/>
    <col min="3" max="3" width="108.5546875" bestFit="1" customWidth="1"/>
    <col min="4" max="4" width="13.88671875" bestFit="1" customWidth="1"/>
    <col min="5" max="5" width="25" bestFit="1" customWidth="1"/>
    <col min="6" max="6" width="17.21875" bestFit="1" customWidth="1"/>
    <col min="7" max="7" width="36.88671875" bestFit="1" customWidth="1"/>
    <col min="8" max="8" width="7.33203125" bestFit="1" customWidth="1"/>
    <col min="9" max="10" width="9.44140625" bestFit="1" customWidth="1"/>
    <col min="11" max="11" width="6.5546875" bestFit="1" customWidth="1"/>
    <col min="12" max="12" width="9.21875" bestFit="1" customWidth="1"/>
    <col min="13" max="13" width="21.21875" bestFit="1" customWidth="1"/>
    <col min="14" max="14" width="8.88671875" bestFit="1" customWidth="1"/>
    <col min="15" max="15" width="9" bestFit="1" customWidth="1"/>
    <col min="16" max="16" width="5.5546875" bestFit="1" customWidth="1"/>
    <col min="17" max="18" width="8.6640625" customWidth="1"/>
    <col min="19" max="20" width="14.44140625" customWidth="1"/>
  </cols>
  <sheetData>
    <row r="1" spans="1:16" ht="13.8">
      <c r="A1" s="428" t="s">
        <v>419</v>
      </c>
      <c r="B1" s="429"/>
      <c r="C1" s="429"/>
      <c r="D1" s="430"/>
      <c r="E1" s="429"/>
      <c r="F1" s="429"/>
      <c r="G1" s="430"/>
      <c r="H1" s="429"/>
      <c r="I1" s="429"/>
      <c r="J1" s="429"/>
      <c r="K1" s="429"/>
      <c r="L1" s="429"/>
      <c r="M1" s="429"/>
      <c r="N1" s="429"/>
      <c r="O1" s="429"/>
      <c r="P1" s="429"/>
    </row>
    <row r="2" spans="1:16" ht="14.4">
      <c r="A2" s="431"/>
      <c r="B2" s="431"/>
      <c r="C2" s="431"/>
      <c r="D2" s="432"/>
      <c r="E2" s="431"/>
      <c r="F2" s="431"/>
      <c r="G2" s="432"/>
      <c r="H2" s="431"/>
      <c r="I2" s="431"/>
      <c r="J2" s="431"/>
      <c r="K2" s="431"/>
      <c r="L2" s="431"/>
      <c r="M2" s="431"/>
      <c r="N2" s="431"/>
      <c r="O2" s="431"/>
      <c r="P2" s="431"/>
    </row>
    <row r="3" spans="1:16" ht="14.4">
      <c r="A3" s="431"/>
      <c r="B3" s="1450" t="s">
        <v>420</v>
      </c>
      <c r="C3" s="1451"/>
      <c r="D3" s="1451"/>
      <c r="E3" s="1451"/>
      <c r="F3" s="1451"/>
      <c r="G3" s="1451"/>
      <c r="H3" s="1451"/>
      <c r="I3" s="1452"/>
      <c r="J3" s="431"/>
      <c r="K3" s="431"/>
      <c r="L3" s="1456" t="s">
        <v>421</v>
      </c>
      <c r="M3" s="1457"/>
      <c r="N3" s="1457"/>
      <c r="O3" s="1457"/>
      <c r="P3" s="1458"/>
    </row>
    <row r="4" spans="1:16" ht="14.4">
      <c r="A4" s="431"/>
      <c r="B4" s="1453"/>
      <c r="C4" s="1454"/>
      <c r="D4" s="1454"/>
      <c r="E4" s="1454"/>
      <c r="F4" s="1454"/>
      <c r="G4" s="1454"/>
      <c r="H4" s="1454"/>
      <c r="I4" s="1455"/>
      <c r="J4" s="431"/>
      <c r="K4" s="431"/>
      <c r="L4" s="433" t="s">
        <v>422</v>
      </c>
      <c r="M4" s="433" t="s">
        <v>45</v>
      </c>
      <c r="N4" s="433" t="s">
        <v>423</v>
      </c>
      <c r="O4" s="433" t="s">
        <v>424</v>
      </c>
      <c r="P4" s="433" t="s">
        <v>87</v>
      </c>
    </row>
    <row r="5" spans="1:16" ht="15.6">
      <c r="A5" s="431"/>
      <c r="B5" s="435"/>
      <c r="C5" s="435"/>
      <c r="D5" s="435"/>
      <c r="E5" s="436"/>
      <c r="F5" s="435"/>
      <c r="G5" s="435"/>
      <c r="H5" s="435"/>
      <c r="I5" s="435"/>
      <c r="J5" s="431"/>
      <c r="K5" s="431"/>
      <c r="L5" s="433" t="s">
        <v>425</v>
      </c>
      <c r="M5" s="433" t="s">
        <v>50</v>
      </c>
      <c r="N5" s="437">
        <f t="shared" ref="N5:O5" si="0">I10</f>
        <v>1250.7378112735</v>
      </c>
      <c r="O5" s="437">
        <f t="shared" si="0"/>
        <v>61.291680779999986</v>
      </c>
      <c r="P5" s="437">
        <f t="shared" ref="P5:P7" si="1">SUM(N5:O5)</f>
        <v>1312.0294920535</v>
      </c>
    </row>
    <row r="6" spans="1:16" ht="15.6">
      <c r="A6" s="431"/>
      <c r="B6" s="438" t="s">
        <v>426</v>
      </c>
      <c r="C6" s="439" t="s">
        <v>427</v>
      </c>
      <c r="D6" s="440"/>
      <c r="E6" s="441"/>
      <c r="F6" s="440"/>
      <c r="G6" s="440"/>
      <c r="H6" s="440"/>
      <c r="I6" s="440"/>
      <c r="J6" s="431"/>
      <c r="K6" s="431"/>
      <c r="L6" s="433" t="s">
        <v>428</v>
      </c>
      <c r="M6" s="442" t="s">
        <v>54</v>
      </c>
      <c r="N6" s="443">
        <f>SUM(I11:I12)</f>
        <v>5361.4856748896791</v>
      </c>
      <c r="O6" s="443">
        <f>SUM(J11:J13)</f>
        <v>271.2697182195372</v>
      </c>
      <c r="P6" s="437">
        <f t="shared" si="1"/>
        <v>5632.7553931092161</v>
      </c>
    </row>
    <row r="7" spans="1:16" ht="14.4">
      <c r="A7" s="431"/>
      <c r="B7" s="431"/>
      <c r="C7" s="431"/>
      <c r="D7" s="432"/>
      <c r="E7" s="431"/>
      <c r="F7" s="431"/>
      <c r="G7" s="432"/>
      <c r="H7" s="431"/>
      <c r="I7" s="444"/>
      <c r="J7" s="444"/>
      <c r="K7" s="431"/>
      <c r="L7" s="445"/>
      <c r="M7" s="446" t="s">
        <v>87</v>
      </c>
      <c r="N7" s="447">
        <f t="shared" ref="N7:O7" si="2">SUM(N5:N6)</f>
        <v>6612.2234861631787</v>
      </c>
      <c r="O7" s="447">
        <f t="shared" si="2"/>
        <v>332.56139899953718</v>
      </c>
      <c r="P7" s="448">
        <f t="shared" si="1"/>
        <v>6944.7848851627159</v>
      </c>
    </row>
    <row r="8" spans="1:16" ht="15.6">
      <c r="A8" s="445"/>
      <c r="B8" s="1459">
        <v>2022</v>
      </c>
      <c r="C8" s="1460"/>
      <c r="D8" s="1460"/>
      <c r="E8" s="1460"/>
      <c r="F8" s="1460"/>
      <c r="G8" s="1460"/>
      <c r="H8" s="1461"/>
      <c r="I8" s="449" t="s">
        <v>429</v>
      </c>
      <c r="J8" s="449" t="s">
        <v>430</v>
      </c>
      <c r="K8" s="434"/>
      <c r="L8" s="431"/>
      <c r="M8" s="450"/>
      <c r="N8" s="450"/>
      <c r="O8" s="450"/>
      <c r="P8" s="450"/>
    </row>
    <row r="9" spans="1:16" ht="14.4">
      <c r="A9" s="445"/>
      <c r="B9" s="451" t="s">
        <v>431</v>
      </c>
      <c r="C9" s="451" t="s">
        <v>432</v>
      </c>
      <c r="D9" s="452" t="s">
        <v>433</v>
      </c>
      <c r="E9" s="451" t="s">
        <v>434</v>
      </c>
      <c r="F9" s="451" t="s">
        <v>435</v>
      </c>
      <c r="G9" s="452" t="s">
        <v>436</v>
      </c>
      <c r="H9" s="451" t="s">
        <v>114</v>
      </c>
      <c r="I9" s="453" t="s">
        <v>437</v>
      </c>
      <c r="J9" s="453" t="s">
        <v>437</v>
      </c>
      <c r="K9" s="434"/>
      <c r="L9" s="431"/>
      <c r="M9" s="431"/>
      <c r="N9" s="431"/>
      <c r="O9" s="431"/>
      <c r="P9" s="431"/>
    </row>
    <row r="10" spans="1:16" ht="14.4">
      <c r="A10" s="445"/>
      <c r="B10" s="454" t="s">
        <v>438</v>
      </c>
      <c r="C10" s="455">
        <v>12</v>
      </c>
      <c r="D10" s="456">
        <v>5477362</v>
      </c>
      <c r="E10" s="457" t="s">
        <v>439</v>
      </c>
      <c r="F10" s="457">
        <v>2022</v>
      </c>
      <c r="G10" s="437">
        <f t="shared" ref="G10:G12" si="3">+D10/C10</f>
        <v>456446.83333333331</v>
      </c>
      <c r="H10" s="457" t="s">
        <v>440</v>
      </c>
      <c r="I10" s="458">
        <f>+G10*VLOOKUP(E10,'Factores Emisión EDGE'!$K$7:$L$13,2,FALSE)/1000</f>
        <v>1250.7378112735</v>
      </c>
      <c r="J10" s="458">
        <f>+G10*VLOOKUP(E10,'Factores Emisión EDGE'!$K$254:$L$260,2,FALSE)/1000</f>
        <v>61.291680779999986</v>
      </c>
      <c r="K10" s="434"/>
      <c r="L10" s="431"/>
      <c r="M10" s="431"/>
      <c r="N10" s="431"/>
      <c r="O10" s="431"/>
      <c r="P10" s="431"/>
    </row>
    <row r="11" spans="1:16" ht="14.4">
      <c r="A11" s="445"/>
      <c r="B11" s="454" t="s">
        <v>441</v>
      </c>
      <c r="C11" s="455">
        <v>12</v>
      </c>
      <c r="D11" s="456">
        <v>23047281</v>
      </c>
      <c r="E11" s="457" t="s">
        <v>439</v>
      </c>
      <c r="F11" s="457">
        <v>2022</v>
      </c>
      <c r="G11" s="437">
        <f t="shared" si="3"/>
        <v>1920606.75</v>
      </c>
      <c r="H11" s="457" t="s">
        <v>440</v>
      </c>
      <c r="I11" s="458">
        <f>+G11*VLOOKUP(E11,'Factores Emisión EDGE'!$K$7:$L$13,2,FALSE)/1000</f>
        <v>5262.7717126867501</v>
      </c>
      <c r="J11" s="458">
        <f>+G11*VLOOKUP(E11,'Factores Emisión EDGE'!$K$254:$L$260,2,FALSE)/1000</f>
        <v>257.89907438999995</v>
      </c>
      <c r="K11" s="434"/>
      <c r="L11" s="431"/>
      <c r="M11" s="444"/>
      <c r="N11" s="444"/>
      <c r="O11" s="444"/>
      <c r="P11" s="431"/>
    </row>
    <row r="12" spans="1:16" ht="14.4">
      <c r="A12" s="445"/>
      <c r="B12" s="454" t="s">
        <v>442</v>
      </c>
      <c r="C12" s="455">
        <v>42</v>
      </c>
      <c r="D12" s="456">
        <v>1797759</v>
      </c>
      <c r="E12" s="457" t="s">
        <v>443</v>
      </c>
      <c r="F12" s="457">
        <v>2022</v>
      </c>
      <c r="G12" s="437">
        <f t="shared" si="3"/>
        <v>42803.785714285717</v>
      </c>
      <c r="H12" s="457" t="s">
        <v>440</v>
      </c>
      <c r="I12" s="458">
        <f>+G12*VLOOKUP(E12,'Factores Emisión EDGE'!$K$7:$L$13,2,FALSE)/1000</f>
        <v>98.713962202928585</v>
      </c>
      <c r="J12" s="458">
        <f>+G12*VLOOKUP(E12,'Factores Emisión EDGE'!$K$254:$L$260,2,FALSE)/1000</f>
        <v>5.2700020971428581</v>
      </c>
      <c r="K12" s="434"/>
      <c r="L12" s="445"/>
      <c r="M12" s="459" t="s">
        <v>444</v>
      </c>
      <c r="N12" s="460"/>
      <c r="O12" s="461"/>
      <c r="P12" s="434"/>
    </row>
    <row r="13" spans="1:16" ht="14.4">
      <c r="A13" s="462"/>
      <c r="B13" s="454" t="s">
        <v>445</v>
      </c>
      <c r="C13" s="455">
        <v>0</v>
      </c>
      <c r="D13" s="456">
        <v>430662</v>
      </c>
      <c r="E13" s="457" t="s">
        <v>275</v>
      </c>
      <c r="F13" s="457">
        <v>2022</v>
      </c>
      <c r="G13" s="463">
        <v>147209</v>
      </c>
      <c r="H13" s="457" t="s">
        <v>446</v>
      </c>
      <c r="I13" s="458">
        <v>0</v>
      </c>
      <c r="J13" s="458">
        <f>G13*D30/1000</f>
        <v>8.1006417323943669</v>
      </c>
      <c r="K13" s="464"/>
      <c r="L13" s="445"/>
      <c r="M13" s="465" t="s">
        <v>443</v>
      </c>
      <c r="N13" s="466">
        <f>G12+G15</f>
        <v>47913.785714285717</v>
      </c>
      <c r="O13" s="467" t="str">
        <f>H12</f>
        <v>Lt</v>
      </c>
      <c r="P13" s="434"/>
    </row>
    <row r="14" spans="1:16" ht="14.4">
      <c r="A14" s="462"/>
      <c r="B14" s="454" t="s">
        <v>447</v>
      </c>
      <c r="C14" s="468">
        <v>7.51</v>
      </c>
      <c r="D14" s="456">
        <f>G14/C14</f>
        <v>1266.1784287616513</v>
      </c>
      <c r="E14" s="469" t="s">
        <v>448</v>
      </c>
      <c r="F14" s="469"/>
      <c r="G14" s="463">
        <v>9509</v>
      </c>
      <c r="H14" s="469" t="s">
        <v>449</v>
      </c>
      <c r="I14" s="470">
        <f t="shared" ref="I14:J14" si="4">9509000*C28/1000</f>
        <v>19.911846000000004</v>
      </c>
      <c r="J14" s="470">
        <f t="shared" si="4"/>
        <v>3.1627409449999999</v>
      </c>
      <c r="K14" s="120"/>
      <c r="L14" s="445"/>
      <c r="M14" s="471" t="s">
        <v>448</v>
      </c>
      <c r="N14" s="466">
        <f t="shared" ref="N14:O14" si="5">G14</f>
        <v>9509</v>
      </c>
      <c r="O14" s="467" t="str">
        <f t="shared" si="5"/>
        <v>m3</v>
      </c>
      <c r="P14" s="434"/>
    </row>
    <row r="15" spans="1:16" ht="14.4">
      <c r="A15" s="462"/>
      <c r="B15" s="454" t="s">
        <v>450</v>
      </c>
      <c r="C15" s="468" t="s">
        <v>451</v>
      </c>
      <c r="D15" s="468" t="s">
        <v>451</v>
      </c>
      <c r="E15" s="469" t="s">
        <v>443</v>
      </c>
      <c r="F15" s="469"/>
      <c r="G15" s="463">
        <v>5110</v>
      </c>
      <c r="H15" s="469" t="s">
        <v>440</v>
      </c>
      <c r="I15" s="470">
        <f>G15*C27/1000</f>
        <v>11.78466667</v>
      </c>
      <c r="J15" s="470">
        <f>G15*D27/1000</f>
        <v>0.68617079999999986</v>
      </c>
      <c r="K15" s="120"/>
      <c r="L15" s="445"/>
      <c r="M15" s="465" t="s">
        <v>452</v>
      </c>
      <c r="N15" s="466">
        <f t="shared" ref="N15:O15" si="6">G13</f>
        <v>147209</v>
      </c>
      <c r="O15" s="467" t="str">
        <f t="shared" si="6"/>
        <v>kWh</v>
      </c>
      <c r="P15" s="434"/>
    </row>
    <row r="16" spans="1:16" ht="14.4">
      <c r="A16" s="462"/>
      <c r="B16" s="472"/>
      <c r="C16" s="473"/>
      <c r="D16" s="474">
        <f>SUM(D9:D13)</f>
        <v>30753064</v>
      </c>
      <c r="E16" s="473"/>
      <c r="F16" s="473"/>
      <c r="G16" s="473"/>
      <c r="H16" s="475"/>
      <c r="I16" s="476">
        <f t="shared" ref="I16:J16" si="7">SUM(I10:I15)-I14-I15</f>
        <v>6612.2234861631796</v>
      </c>
      <c r="J16" s="476">
        <f t="shared" si="7"/>
        <v>332.56139899953718</v>
      </c>
      <c r="K16" s="476">
        <f>J16+I16</f>
        <v>6944.7848851627168</v>
      </c>
      <c r="L16" s="477"/>
      <c r="M16" s="478" t="s">
        <v>453</v>
      </c>
      <c r="N16" s="479">
        <f>G10+G11</f>
        <v>2377053.5833333335</v>
      </c>
      <c r="O16" s="480" t="str">
        <f>H11</f>
        <v>Lt</v>
      </c>
      <c r="P16" s="464"/>
    </row>
    <row r="19" spans="2:13" ht="15.6">
      <c r="B19" s="1459">
        <v>2021</v>
      </c>
      <c r="C19" s="1460"/>
      <c r="D19" s="1460"/>
      <c r="E19" s="1460"/>
      <c r="F19" s="1460"/>
      <c r="G19" s="1460"/>
      <c r="H19" s="1461"/>
      <c r="I19" s="449" t="s">
        <v>429</v>
      </c>
      <c r="J19" s="449" t="s">
        <v>430</v>
      </c>
      <c r="K19" s="484"/>
      <c r="L19" s="485"/>
      <c r="M19" s="486" t="s">
        <v>454</v>
      </c>
    </row>
    <row r="20" spans="2:13" ht="14.4">
      <c r="B20" s="451" t="s">
        <v>431</v>
      </c>
      <c r="C20" s="451" t="s">
        <v>432</v>
      </c>
      <c r="D20" s="452" t="s">
        <v>433</v>
      </c>
      <c r="E20" s="451" t="s">
        <v>434</v>
      </c>
      <c r="F20" s="451" t="s">
        <v>435</v>
      </c>
      <c r="G20" s="452" t="s">
        <v>436</v>
      </c>
      <c r="H20" s="451" t="s">
        <v>114</v>
      </c>
      <c r="I20" s="487" t="s">
        <v>437</v>
      </c>
      <c r="J20" s="487" t="s">
        <v>437</v>
      </c>
      <c r="K20" s="466"/>
      <c r="L20" s="466"/>
    </row>
    <row r="21" spans="2:13" ht="14.4">
      <c r="B21" s="488" t="s">
        <v>455</v>
      </c>
      <c r="C21" s="468">
        <v>12</v>
      </c>
      <c r="D21" s="489">
        <v>42162803</v>
      </c>
      <c r="E21" s="457" t="s">
        <v>439</v>
      </c>
      <c r="F21" s="457">
        <v>2021</v>
      </c>
      <c r="G21" s="490">
        <f>D21/C21</f>
        <v>3513566.9166666665</v>
      </c>
      <c r="H21" s="457" t="s">
        <v>440</v>
      </c>
      <c r="I21" s="437">
        <f>+G21*VLOOKUP(E21,'Factores Emisión EDGE'!$K$7:$L$13,2,FALSE)/1000</f>
        <v>9627.7390359402507</v>
      </c>
      <c r="J21" s="437">
        <f>+G21*VLOOKUP(E21,'Factores Emisión EDGE'!$K$254:$L$260,2,FALSE)/1000</f>
        <v>471.80176556999993</v>
      </c>
      <c r="K21" s="466"/>
      <c r="L21" s="466"/>
    </row>
    <row r="22" spans="2:13" ht="14.4">
      <c r="B22" s="1459"/>
      <c r="C22" s="1460"/>
      <c r="D22" s="1460"/>
      <c r="E22" s="1460"/>
      <c r="F22" s="1460"/>
      <c r="G22" s="1460"/>
      <c r="H22" s="1461"/>
      <c r="I22" s="491">
        <f t="shared" ref="I22:J22" si="8">+SUM(I21)</f>
        <v>9627.7390359402507</v>
      </c>
      <c r="J22" s="491">
        <f t="shared" si="8"/>
        <v>471.80176556999993</v>
      </c>
      <c r="K22" s="491">
        <f>J22+I22</f>
        <v>10099.540801510251</v>
      </c>
      <c r="L22" s="466"/>
    </row>
    <row r="23" spans="2:13" ht="14.4">
      <c r="B23" s="431"/>
      <c r="C23" s="431"/>
      <c r="D23" s="432"/>
      <c r="E23" s="431"/>
      <c r="F23" s="431"/>
      <c r="G23" s="432"/>
      <c r="H23" s="431"/>
      <c r="I23" s="466"/>
      <c r="J23" s="466"/>
      <c r="K23" s="466"/>
      <c r="L23" s="466"/>
      <c r="M23" s="431"/>
    </row>
    <row r="24" spans="2:13" ht="14.4">
      <c r="B24" s="444"/>
      <c r="C24" s="444"/>
      <c r="D24" s="492"/>
      <c r="E24" s="444"/>
      <c r="F24" s="431"/>
      <c r="G24" s="432"/>
      <c r="H24" s="431"/>
      <c r="I24" s="431"/>
      <c r="J24" s="431"/>
      <c r="K24" s="431"/>
      <c r="L24" s="431"/>
      <c r="M24" s="431"/>
    </row>
    <row r="25" spans="2:13" ht="14.4">
      <c r="B25" s="493" t="s">
        <v>456</v>
      </c>
      <c r="C25" s="493" t="s">
        <v>423</v>
      </c>
      <c r="D25" s="493" t="s">
        <v>424</v>
      </c>
      <c r="E25" s="494" t="s">
        <v>457</v>
      </c>
      <c r="F25" s="494" t="s">
        <v>458</v>
      </c>
      <c r="G25" s="432"/>
      <c r="H25" s="431"/>
      <c r="I25" s="431"/>
      <c r="J25" s="431"/>
      <c r="K25" s="431"/>
      <c r="L25" s="431"/>
      <c r="M25" s="431"/>
    </row>
    <row r="26" spans="2:13" ht="14.4">
      <c r="B26" s="495" t="s">
        <v>453</v>
      </c>
      <c r="C26" s="496">
        <v>2.7401610000000001</v>
      </c>
      <c r="D26" s="497">
        <v>0.12312000000000002</v>
      </c>
      <c r="E26" s="496">
        <f t="shared" ref="E26:E32" si="9">D26+C26</f>
        <v>2.8632810000000002</v>
      </c>
      <c r="F26" s="494" t="s">
        <v>459</v>
      </c>
      <c r="G26" s="432"/>
      <c r="H26" s="431"/>
      <c r="J26" s="431"/>
      <c r="K26" s="431"/>
      <c r="L26" s="431"/>
      <c r="M26" s="431"/>
    </row>
    <row r="27" spans="2:13" ht="14.4">
      <c r="B27" s="495" t="s">
        <v>443</v>
      </c>
      <c r="C27" s="496">
        <v>2.3061970000000001</v>
      </c>
      <c r="D27" s="496">
        <v>0.13427999999999998</v>
      </c>
      <c r="E27" s="496">
        <f t="shared" si="9"/>
        <v>2.440477</v>
      </c>
      <c r="F27" s="494" t="s">
        <v>459</v>
      </c>
      <c r="G27" s="432"/>
      <c r="H27" s="431"/>
      <c r="J27" s="431"/>
      <c r="K27" s="431"/>
      <c r="L27" s="431"/>
      <c r="M27" s="431"/>
    </row>
    <row r="28" spans="2:13" ht="14.4">
      <c r="B28" s="495" t="s">
        <v>448</v>
      </c>
      <c r="C28" s="496">
        <v>2.0940000000000004E-3</v>
      </c>
      <c r="D28" s="496">
        <v>3.3260499999999998E-4</v>
      </c>
      <c r="E28" s="496">
        <f t="shared" si="9"/>
        <v>2.4266050000000005E-3</v>
      </c>
      <c r="F28" s="494" t="s">
        <v>459</v>
      </c>
      <c r="H28" s="431"/>
      <c r="J28" s="431"/>
      <c r="K28" s="431"/>
      <c r="L28" s="431"/>
      <c r="M28" s="431"/>
    </row>
    <row r="29" spans="2:13" ht="14.4">
      <c r="B29" s="498" t="s">
        <v>460</v>
      </c>
      <c r="C29" s="499">
        <v>0.30059999999999998</v>
      </c>
      <c r="D29" s="496">
        <v>5.5028169014084506E-2</v>
      </c>
      <c r="E29" s="496">
        <f t="shared" si="9"/>
        <v>0.35562816901408451</v>
      </c>
      <c r="F29" s="494" t="s">
        <v>461</v>
      </c>
      <c r="G29" s="431" t="s">
        <v>462</v>
      </c>
      <c r="H29" s="444"/>
      <c r="I29" s="431"/>
      <c r="J29" s="431"/>
      <c r="K29" s="431"/>
      <c r="L29" s="431"/>
      <c r="M29" s="431"/>
    </row>
    <row r="30" spans="2:13" ht="14.4">
      <c r="B30" s="498" t="s">
        <v>463</v>
      </c>
      <c r="C30" s="499">
        <v>0</v>
      </c>
      <c r="D30" s="496">
        <v>5.5028169014084506E-2</v>
      </c>
      <c r="E30" s="496">
        <f t="shared" si="9"/>
        <v>5.5028169014084506E-2</v>
      </c>
      <c r="F30" s="494" t="s">
        <v>461</v>
      </c>
      <c r="G30" s="431" t="s">
        <v>462</v>
      </c>
      <c r="H30" s="431"/>
      <c r="J30" s="431"/>
      <c r="K30" s="431"/>
      <c r="L30" s="431"/>
      <c r="M30" s="431"/>
    </row>
    <row r="31" spans="2:13" ht="14.4">
      <c r="B31" s="498" t="s">
        <v>464</v>
      </c>
      <c r="C31" s="499">
        <v>0.59279166666666672</v>
      </c>
      <c r="D31" s="496">
        <v>5.5028169014084506E-2</v>
      </c>
      <c r="E31" s="496">
        <f t="shared" si="9"/>
        <v>0.64781983568075119</v>
      </c>
      <c r="F31" s="494" t="s">
        <v>461</v>
      </c>
      <c r="G31" s="431" t="s">
        <v>465</v>
      </c>
      <c r="H31" s="444"/>
      <c r="I31" s="431"/>
      <c r="J31" s="431"/>
      <c r="K31" s="431"/>
      <c r="L31" s="431"/>
      <c r="M31" s="431"/>
    </row>
    <row r="32" spans="2:13" ht="14.4">
      <c r="B32" s="498" t="s">
        <v>466</v>
      </c>
      <c r="C32" s="499">
        <v>0.72450000000000003</v>
      </c>
      <c r="D32" s="496">
        <v>5.5028169014084506E-2</v>
      </c>
      <c r="E32" s="496">
        <f t="shared" si="9"/>
        <v>0.7795281690140845</v>
      </c>
      <c r="F32" s="494" t="s">
        <v>461</v>
      </c>
      <c r="G32" s="431" t="s">
        <v>467</v>
      </c>
      <c r="H32" s="444"/>
      <c r="I32" s="431"/>
      <c r="J32" s="431"/>
      <c r="K32" s="431"/>
      <c r="L32" s="431"/>
      <c r="M32" s="431"/>
    </row>
    <row r="36" spans="2:17">
      <c r="B36" s="1462" t="s">
        <v>468</v>
      </c>
      <c r="C36" s="1463"/>
      <c r="D36" s="1463"/>
      <c r="E36" s="1463"/>
      <c r="F36" s="1463"/>
      <c r="G36" s="1463"/>
      <c r="H36" s="1463"/>
      <c r="I36" s="1463"/>
      <c r="J36" s="1463"/>
      <c r="K36" s="1463"/>
      <c r="L36" s="1463"/>
      <c r="M36" s="1463"/>
      <c r="N36" s="1463"/>
      <c r="O36" s="1463"/>
      <c r="P36" s="1463"/>
      <c r="Q36" s="1464"/>
    </row>
    <row r="37" spans="2:17" ht="14.4">
      <c r="B37" s="500" t="s">
        <v>234</v>
      </c>
      <c r="C37" s="501">
        <v>2021</v>
      </c>
      <c r="D37" s="501">
        <v>2022</v>
      </c>
      <c r="E37" s="502"/>
      <c r="F37" s="502" t="s">
        <v>469</v>
      </c>
      <c r="G37" s="1465" t="s">
        <v>470</v>
      </c>
      <c r="H37" s="1415"/>
      <c r="I37" s="1415"/>
      <c r="J37" s="1415"/>
      <c r="K37" s="1415"/>
      <c r="L37" s="1415"/>
      <c r="M37" s="1415"/>
      <c r="N37" s="1415"/>
      <c r="O37" s="1415"/>
      <c r="P37" s="1415"/>
      <c r="Q37" s="1416"/>
    </row>
    <row r="38" spans="2:17" ht="14.4">
      <c r="B38" s="503" t="s">
        <v>471</v>
      </c>
      <c r="C38" s="504">
        <f>D21</f>
        <v>42162803</v>
      </c>
      <c r="D38" s="505">
        <f>SUM(D10:D13)</f>
        <v>30753064</v>
      </c>
      <c r="E38" s="506">
        <f>D38-C38</f>
        <v>-11409739</v>
      </c>
      <c r="F38" s="507">
        <f t="shared" ref="F38:F39" si="10">D38/C38-1</f>
        <v>-0.27061149136597962</v>
      </c>
      <c r="G38" s="1466" t="s">
        <v>472</v>
      </c>
      <c r="H38" s="1415"/>
      <c r="I38" s="1415"/>
      <c r="J38" s="1415"/>
      <c r="K38" s="1415"/>
      <c r="L38" s="1415"/>
      <c r="M38" s="1415"/>
      <c r="N38" s="1415"/>
      <c r="O38" s="1415"/>
      <c r="P38" s="1415"/>
      <c r="Q38" s="1416"/>
    </row>
    <row r="39" spans="2:17" ht="14.4">
      <c r="B39" s="508" t="s">
        <v>377</v>
      </c>
      <c r="C39" s="509">
        <f>D21/C54</f>
        <v>1.2798654785674426</v>
      </c>
      <c r="D39" s="510">
        <f>D38/C55</f>
        <v>1.6096164134996671</v>
      </c>
      <c r="E39" s="506">
        <v>0.33</v>
      </c>
      <c r="F39" s="511">
        <f t="shared" si="10"/>
        <v>0.25764499508285499</v>
      </c>
      <c r="G39" s="1466" t="s">
        <v>473</v>
      </c>
      <c r="H39" s="1415"/>
      <c r="I39" s="1415"/>
      <c r="J39" s="1415"/>
      <c r="K39" s="1415"/>
      <c r="L39" s="1415"/>
      <c r="M39" s="1415"/>
      <c r="N39" s="1415"/>
      <c r="O39" s="1415"/>
      <c r="P39" s="1415"/>
      <c r="Q39" s="1416"/>
    </row>
    <row r="40" spans="2:17" ht="14.4">
      <c r="B40" s="503" t="s">
        <v>474</v>
      </c>
      <c r="C40" s="512">
        <v>0.76100000000000001</v>
      </c>
      <c r="D40" s="513">
        <v>0.70599999999999996</v>
      </c>
      <c r="E40" s="507">
        <f t="shared" ref="E40:E41" si="11">D40-C40</f>
        <v>-5.5000000000000049E-2</v>
      </c>
      <c r="F40" s="507">
        <f t="shared" ref="F40:F41" si="12">D40-C40</f>
        <v>-5.5000000000000049E-2</v>
      </c>
      <c r="G40" s="1466" t="s">
        <v>475</v>
      </c>
      <c r="H40" s="1415"/>
      <c r="I40" s="1415"/>
      <c r="J40" s="1415"/>
      <c r="K40" s="1415"/>
      <c r="L40" s="1415"/>
      <c r="M40" s="1415"/>
      <c r="N40" s="1415"/>
      <c r="O40" s="1415"/>
      <c r="P40" s="1415"/>
      <c r="Q40" s="1416"/>
    </row>
    <row r="41" spans="2:17" ht="14.4">
      <c r="B41" s="503" t="s">
        <v>476</v>
      </c>
      <c r="C41" s="514">
        <v>5.5800000000000002E-2</v>
      </c>
      <c r="D41" s="515">
        <v>2.7799999999999998E-2</v>
      </c>
      <c r="E41" s="507">
        <f t="shared" si="11"/>
        <v>-2.8000000000000004E-2</v>
      </c>
      <c r="F41" s="507">
        <f t="shared" si="12"/>
        <v>-2.8000000000000004E-2</v>
      </c>
      <c r="G41" s="1466" t="s">
        <v>477</v>
      </c>
      <c r="H41" s="1415"/>
      <c r="I41" s="1415"/>
      <c r="J41" s="1415"/>
      <c r="K41" s="1415"/>
      <c r="L41" s="1415"/>
      <c r="M41" s="1415"/>
      <c r="N41" s="1415"/>
      <c r="O41" s="1415"/>
      <c r="P41" s="1415"/>
      <c r="Q41" s="1416"/>
    </row>
    <row r="42" spans="2:17" ht="14.4">
      <c r="B42" s="503" t="s">
        <v>478</v>
      </c>
      <c r="C42" s="516">
        <f>C43</f>
        <v>12</v>
      </c>
      <c r="D42" s="517">
        <f>D38/SUM(G10:G12)</f>
        <v>12.708626712203062</v>
      </c>
      <c r="E42" s="506">
        <v>0.71</v>
      </c>
      <c r="F42" s="507">
        <f>D42/C42-1</f>
        <v>5.9052226016921727E-2</v>
      </c>
      <c r="G42" s="1466"/>
      <c r="H42" s="1415"/>
      <c r="I42" s="1415"/>
      <c r="J42" s="1415"/>
      <c r="K42" s="1415"/>
      <c r="L42" s="1415"/>
      <c r="M42" s="1415"/>
      <c r="N42" s="1415"/>
      <c r="O42" s="1415"/>
      <c r="P42" s="1415"/>
      <c r="Q42" s="1416"/>
    </row>
    <row r="43" spans="2:17" ht="14.4">
      <c r="B43" s="503" t="s">
        <v>479</v>
      </c>
      <c r="C43" s="516">
        <v>12</v>
      </c>
      <c r="D43" s="517">
        <v>12</v>
      </c>
      <c r="E43" s="507"/>
      <c r="F43" s="507">
        <f>C43-D43</f>
        <v>0</v>
      </c>
      <c r="G43" s="1466" t="s">
        <v>480</v>
      </c>
      <c r="H43" s="1415"/>
      <c r="I43" s="1415"/>
      <c r="J43" s="1415"/>
      <c r="K43" s="1415"/>
      <c r="L43" s="1415"/>
      <c r="M43" s="1415"/>
      <c r="N43" s="1415"/>
      <c r="O43" s="1415"/>
      <c r="P43" s="1415"/>
      <c r="Q43" s="1416"/>
    </row>
    <row r="44" spans="2:17" ht="14.4">
      <c r="B44" s="503" t="s">
        <v>481</v>
      </c>
      <c r="C44" s="516" t="s">
        <v>182</v>
      </c>
      <c r="D44" s="517">
        <v>42</v>
      </c>
      <c r="E44" s="518"/>
      <c r="F44" s="518" t="s">
        <v>482</v>
      </c>
      <c r="G44" s="1466" t="s">
        <v>483</v>
      </c>
      <c r="H44" s="1415"/>
      <c r="I44" s="1415"/>
      <c r="J44" s="1415"/>
      <c r="K44" s="1415"/>
      <c r="L44" s="1415"/>
      <c r="M44" s="1415"/>
      <c r="N44" s="1415"/>
      <c r="O44" s="1415"/>
      <c r="P44" s="1415"/>
      <c r="Q44" s="1416"/>
    </row>
    <row r="45" spans="2:17" ht="14.4">
      <c r="B45" s="503" t="s">
        <v>484</v>
      </c>
      <c r="C45" s="516">
        <v>0</v>
      </c>
      <c r="D45" s="505">
        <v>430662</v>
      </c>
      <c r="E45" s="519">
        <f t="shared" ref="E45:E50" si="13">D45-C45</f>
        <v>430662</v>
      </c>
      <c r="F45" s="518" t="s">
        <v>482</v>
      </c>
      <c r="G45" s="1466" t="s">
        <v>485</v>
      </c>
      <c r="H45" s="1415"/>
      <c r="I45" s="1415"/>
      <c r="J45" s="1415"/>
      <c r="K45" s="1415"/>
      <c r="L45" s="1415"/>
      <c r="M45" s="1415"/>
      <c r="N45" s="1415"/>
      <c r="O45" s="1415"/>
      <c r="P45" s="1415"/>
      <c r="Q45" s="1416"/>
    </row>
    <row r="46" spans="2:17" ht="14.4">
      <c r="B46" s="503" t="s">
        <v>486</v>
      </c>
      <c r="C46" s="516"/>
      <c r="D46" s="517"/>
      <c r="E46" s="506">
        <f t="shared" si="13"/>
        <v>0</v>
      </c>
      <c r="F46" s="518" t="s">
        <v>482</v>
      </c>
      <c r="G46" s="1466" t="s">
        <v>485</v>
      </c>
      <c r="H46" s="1415"/>
      <c r="I46" s="1415"/>
      <c r="J46" s="1415"/>
      <c r="K46" s="1415"/>
      <c r="L46" s="1415"/>
      <c r="M46" s="1415"/>
      <c r="N46" s="1415"/>
      <c r="O46" s="1415"/>
      <c r="P46" s="1415"/>
      <c r="Q46" s="1416"/>
    </row>
    <row r="47" spans="2:17" ht="14.4">
      <c r="B47" s="503" t="s">
        <v>487</v>
      </c>
      <c r="C47" s="516">
        <v>0</v>
      </c>
      <c r="D47" s="517">
        <v>98</v>
      </c>
      <c r="E47" s="506">
        <f t="shared" si="13"/>
        <v>98</v>
      </c>
      <c r="F47" s="518" t="s">
        <v>482</v>
      </c>
      <c r="G47" s="1466" t="s">
        <v>488</v>
      </c>
      <c r="H47" s="1415"/>
      <c r="I47" s="1415"/>
      <c r="J47" s="1415"/>
      <c r="K47" s="1415"/>
      <c r="L47" s="1415"/>
      <c r="M47" s="1415"/>
      <c r="N47" s="1415"/>
      <c r="O47" s="1415"/>
      <c r="P47" s="1415"/>
      <c r="Q47" s="1416"/>
    </row>
    <row r="48" spans="2:17" ht="14.4">
      <c r="B48" s="503" t="s">
        <v>489</v>
      </c>
      <c r="C48" s="516">
        <v>0</v>
      </c>
      <c r="D48" s="520">
        <f>D47*1000/C55</f>
        <v>5.129323326058418E-3</v>
      </c>
      <c r="E48" s="521">
        <f t="shared" si="13"/>
        <v>5.129323326058418E-3</v>
      </c>
      <c r="F48" s="518" t="s">
        <v>482</v>
      </c>
      <c r="G48" s="1466" t="s">
        <v>488</v>
      </c>
      <c r="H48" s="1415"/>
      <c r="I48" s="1415"/>
      <c r="J48" s="1415"/>
      <c r="K48" s="1415"/>
      <c r="L48" s="1415"/>
      <c r="M48" s="1415"/>
      <c r="N48" s="1415"/>
      <c r="O48" s="1415"/>
      <c r="P48" s="1415"/>
      <c r="Q48" s="1416"/>
    </row>
    <row r="49" spans="2:17" ht="14.4">
      <c r="B49" s="522" t="s">
        <v>490</v>
      </c>
      <c r="C49" s="523">
        <f>SUM(I22:J22)</f>
        <v>10099.540801510251</v>
      </c>
      <c r="D49" s="524">
        <f>SUM(I16:J16)</f>
        <v>6944.7848851627168</v>
      </c>
      <c r="E49" s="525">
        <f t="shared" si="13"/>
        <v>-3154.7559163475344</v>
      </c>
      <c r="F49" s="526">
        <f t="shared" ref="F49:F50" si="14">D49/C49-1</f>
        <v>-0.31236627271962536</v>
      </c>
      <c r="G49" s="1467" t="s">
        <v>491</v>
      </c>
      <c r="H49" s="1415"/>
      <c r="I49" s="1415"/>
      <c r="J49" s="1415"/>
      <c r="K49" s="1415"/>
      <c r="L49" s="1415"/>
      <c r="M49" s="1415"/>
      <c r="N49" s="1415"/>
      <c r="O49" s="1415"/>
      <c r="P49" s="1415"/>
      <c r="Q49" s="1416"/>
    </row>
    <row r="50" spans="2:17" ht="14.4">
      <c r="B50" s="527" t="s">
        <v>7</v>
      </c>
      <c r="C50" s="528">
        <f>C49*1000/C54</f>
        <v>0.30657481717323987</v>
      </c>
      <c r="D50" s="529">
        <f>D49*1000/C55</f>
        <v>0.36349027659105154</v>
      </c>
      <c r="E50" s="525">
        <f t="shared" si="13"/>
        <v>5.6915459417811676E-2</v>
      </c>
      <c r="F50" s="530">
        <f t="shared" si="14"/>
        <v>0.18564949314036383</v>
      </c>
      <c r="G50" s="1468" t="s">
        <v>319</v>
      </c>
      <c r="H50" s="1469"/>
      <c r="I50" s="1469"/>
      <c r="J50" s="1469"/>
      <c r="K50" s="1469"/>
      <c r="L50" s="1469"/>
      <c r="M50" s="1469"/>
      <c r="N50" s="1469"/>
      <c r="O50" s="1469"/>
      <c r="P50" s="1469"/>
      <c r="Q50" s="1470"/>
    </row>
    <row r="51" spans="2:17" ht="14.4">
      <c r="B51" s="450"/>
      <c r="C51" s="450"/>
      <c r="D51" s="450"/>
      <c r="E51" s="450"/>
      <c r="F51" s="450"/>
      <c r="G51" s="450"/>
      <c r="H51" s="450"/>
      <c r="I51" s="450"/>
      <c r="J51" s="450"/>
      <c r="K51" s="450"/>
      <c r="L51" s="450"/>
      <c r="M51" s="450"/>
      <c r="O51" s="450"/>
      <c r="P51" s="450"/>
      <c r="Q51" s="450"/>
    </row>
    <row r="52" spans="2:17" ht="14.4">
      <c r="B52" s="444"/>
      <c r="C52" s="444"/>
      <c r="D52" s="431"/>
      <c r="E52" s="444"/>
      <c r="F52" s="444"/>
      <c r="G52" s="492"/>
      <c r="H52" s="444"/>
      <c r="I52" s="444"/>
      <c r="J52" s="444"/>
      <c r="K52" s="444"/>
      <c r="L52" s="444"/>
      <c r="M52" s="444"/>
      <c r="O52" s="431"/>
      <c r="P52" s="431"/>
      <c r="Q52" s="431"/>
    </row>
    <row r="53" spans="2:17" ht="14.4">
      <c r="B53" s="1449" t="s">
        <v>227</v>
      </c>
      <c r="C53" s="1393"/>
      <c r="D53" s="531"/>
      <c r="E53" s="431"/>
      <c r="F53" s="431"/>
      <c r="G53" s="432"/>
      <c r="H53" s="431"/>
      <c r="I53" s="431"/>
      <c r="J53" s="431"/>
      <c r="K53" s="431"/>
      <c r="L53" s="431"/>
      <c r="M53" s="431"/>
      <c r="O53" s="431"/>
      <c r="P53" s="431"/>
      <c r="Q53" s="431"/>
    </row>
    <row r="54" spans="2:17" ht="14.4">
      <c r="B54" s="426">
        <v>2021</v>
      </c>
      <c r="C54" s="427">
        <v>32943152</v>
      </c>
      <c r="D54" s="445"/>
      <c r="E54" s="444"/>
      <c r="F54" s="444"/>
      <c r="G54" s="492"/>
      <c r="H54" s="444"/>
      <c r="I54" s="444"/>
      <c r="J54" s="444"/>
      <c r="K54" s="444"/>
      <c r="L54" s="444"/>
      <c r="M54" s="444"/>
      <c r="O54" s="431"/>
      <c r="P54" s="431"/>
      <c r="Q54" s="431"/>
    </row>
    <row r="55" spans="2:17" ht="14.4">
      <c r="B55" s="426">
        <v>2022</v>
      </c>
      <c r="C55" s="427">
        <v>19105834</v>
      </c>
      <c r="D55" s="445"/>
      <c r="E55" s="431"/>
      <c r="F55" s="431"/>
      <c r="G55" s="432"/>
      <c r="H55" s="431"/>
      <c r="I55" s="431"/>
      <c r="J55" s="431"/>
      <c r="K55" s="431"/>
      <c r="L55" s="431"/>
      <c r="M55" s="431"/>
      <c r="O55" s="431"/>
      <c r="P55" s="431"/>
      <c r="Q55" s="431"/>
    </row>
  </sheetData>
  <mergeCells count="21">
    <mergeCell ref="G48:Q48"/>
    <mergeCell ref="G49:Q49"/>
    <mergeCell ref="G50:Q50"/>
    <mergeCell ref="B53:C53"/>
    <mergeCell ref="G38:Q38"/>
    <mergeCell ref="G39:Q39"/>
    <mergeCell ref="G40:Q40"/>
    <mergeCell ref="G41:Q41"/>
    <mergeCell ref="G42:Q42"/>
    <mergeCell ref="G43:Q43"/>
    <mergeCell ref="G44:Q44"/>
    <mergeCell ref="B36:Q36"/>
    <mergeCell ref="G37:Q37"/>
    <mergeCell ref="G45:Q45"/>
    <mergeCell ref="G46:Q46"/>
    <mergeCell ref="G47:Q47"/>
    <mergeCell ref="B3:I4"/>
    <mergeCell ref="L3:P3"/>
    <mergeCell ref="B8:H8"/>
    <mergeCell ref="B19:H19"/>
    <mergeCell ref="B22:H22"/>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FF"/>
  </sheetPr>
  <dimension ref="A1:G91"/>
  <sheetViews>
    <sheetView showGridLines="0" workbookViewId="0"/>
  </sheetViews>
  <sheetFormatPr baseColWidth="10" defaultColWidth="12.6640625" defaultRowHeight="15" customHeight="1"/>
  <cols>
    <col min="1" max="1" width="15.44140625" customWidth="1"/>
    <col min="2" max="2" width="24.44140625" customWidth="1"/>
    <col min="3" max="3" width="21.88671875" customWidth="1"/>
    <col min="4" max="4" width="22" customWidth="1"/>
    <col min="5" max="6" width="9.88671875" customWidth="1"/>
    <col min="7" max="7" width="61" customWidth="1"/>
    <col min="8" max="8" width="11.88671875" customWidth="1"/>
    <col min="9" max="20" width="8.6640625" customWidth="1"/>
  </cols>
  <sheetData>
    <row r="1" spans="1:7" ht="14.25" customHeight="1">
      <c r="A1" s="534" t="s">
        <v>492</v>
      </c>
      <c r="B1" s="429"/>
      <c r="C1" s="429"/>
      <c r="D1" s="429"/>
      <c r="E1" s="429"/>
      <c r="F1" s="429"/>
      <c r="G1" s="429"/>
    </row>
    <row r="2" spans="1:7" ht="14.25" customHeight="1">
      <c r="A2" s="431"/>
      <c r="B2" s="431"/>
      <c r="C2" s="431"/>
      <c r="D2" s="431"/>
      <c r="E2" s="431"/>
      <c r="F2" s="431"/>
      <c r="G2" s="431"/>
    </row>
    <row r="3" spans="1:7" ht="18" customHeight="1">
      <c r="A3" s="431"/>
      <c r="B3" s="1450" t="s">
        <v>493</v>
      </c>
      <c r="C3" s="1451"/>
      <c r="D3" s="1451"/>
      <c r="E3" s="1451"/>
      <c r="F3" s="1452"/>
      <c r="G3" s="431"/>
    </row>
    <row r="4" spans="1:7" ht="14.25" customHeight="1">
      <c r="A4" s="431"/>
      <c r="B4" s="1471"/>
      <c r="C4" s="1396"/>
      <c r="D4" s="1396"/>
      <c r="E4" s="1396"/>
      <c r="F4" s="1472"/>
      <c r="G4" s="431"/>
    </row>
    <row r="5" spans="1:7" ht="14.25" customHeight="1">
      <c r="A5" s="431"/>
      <c r="B5" s="1453"/>
      <c r="C5" s="1454"/>
      <c r="D5" s="1454"/>
      <c r="E5" s="1454"/>
      <c r="F5" s="1455"/>
      <c r="G5" s="431"/>
    </row>
    <row r="6" spans="1:7" ht="14.25" customHeight="1">
      <c r="A6" s="431"/>
      <c r="B6" s="435"/>
      <c r="C6" s="435"/>
      <c r="D6" s="435"/>
      <c r="E6" s="431"/>
      <c r="F6" s="431"/>
      <c r="G6" s="431"/>
    </row>
    <row r="7" spans="1:7" ht="14.25" customHeight="1">
      <c r="A7" s="431"/>
      <c r="B7" s="438" t="s">
        <v>426</v>
      </c>
      <c r="C7" s="535" t="s">
        <v>494</v>
      </c>
      <c r="D7" s="440"/>
      <c r="E7" s="536"/>
      <c r="F7" s="536"/>
      <c r="G7" s="431"/>
    </row>
    <row r="8" spans="1:7" ht="14.25" customHeight="1">
      <c r="A8" s="431"/>
      <c r="B8" s="431"/>
      <c r="C8" s="431"/>
      <c r="D8" s="431"/>
      <c r="E8" s="431"/>
      <c r="F8" s="431"/>
      <c r="G8" s="431"/>
    </row>
    <row r="9" spans="1:7" ht="14.25" customHeight="1">
      <c r="A9" s="431"/>
      <c r="B9" s="1473" t="s">
        <v>83</v>
      </c>
      <c r="C9" s="1474"/>
      <c r="D9" s="1474"/>
      <c r="E9" s="1474"/>
      <c r="F9" s="1474"/>
      <c r="G9" s="1475"/>
    </row>
    <row r="10" spans="1:7" ht="14.25" customHeight="1">
      <c r="A10" s="444"/>
      <c r="B10" s="537" t="s">
        <v>495</v>
      </c>
      <c r="C10" s="538">
        <v>2021</v>
      </c>
      <c r="D10" s="538">
        <v>2022</v>
      </c>
      <c r="E10" s="539" t="s">
        <v>8</v>
      </c>
      <c r="F10" s="539" t="s">
        <v>257</v>
      </c>
      <c r="G10" s="538" t="s">
        <v>496</v>
      </c>
    </row>
    <row r="11" spans="1:7" ht="16.5" customHeight="1">
      <c r="A11" s="1476" t="s">
        <v>497</v>
      </c>
      <c r="B11" s="540" t="s">
        <v>498</v>
      </c>
      <c r="C11" s="541">
        <v>4316623</v>
      </c>
      <c r="D11" s="541">
        <v>3270844</v>
      </c>
      <c r="E11" s="542">
        <f t="shared" ref="E11:E65" si="0">D11-C11</f>
        <v>-1045779</v>
      </c>
      <c r="F11" s="543">
        <f>D11/C11-1</f>
        <v>-0.24226785614588076</v>
      </c>
      <c r="G11" s="544" t="s">
        <v>499</v>
      </c>
    </row>
    <row r="12" spans="1:7" ht="16.5" customHeight="1">
      <c r="A12" s="1477"/>
      <c r="B12" s="545" t="s">
        <v>500</v>
      </c>
      <c r="C12" s="505">
        <v>1647927</v>
      </c>
      <c r="D12" s="505">
        <v>1099274</v>
      </c>
      <c r="E12" s="505">
        <f t="shared" si="0"/>
        <v>-548653</v>
      </c>
      <c r="F12" s="513">
        <f t="shared" ref="F12:F13" si="1">E12/C12</f>
        <v>-0.33293525744769031</v>
      </c>
      <c r="G12" s="546"/>
    </row>
    <row r="13" spans="1:7" ht="16.5" customHeight="1">
      <c r="A13" s="1477"/>
      <c r="B13" s="545" t="s">
        <v>501</v>
      </c>
      <c r="C13" s="505">
        <v>2668695</v>
      </c>
      <c r="D13" s="505">
        <v>2171610</v>
      </c>
      <c r="E13" s="505">
        <f t="shared" si="0"/>
        <v>-497085</v>
      </c>
      <c r="F13" s="513">
        <f t="shared" si="1"/>
        <v>-0.18626519703450564</v>
      </c>
      <c r="G13" s="546"/>
    </row>
    <row r="14" spans="1:7" ht="16.5" customHeight="1">
      <c r="A14" s="1477"/>
      <c r="B14" s="545" t="s">
        <v>382</v>
      </c>
      <c r="C14" s="513">
        <f t="shared" ref="C14:D14" si="2">C12/C11</f>
        <v>0.38176301242892879</v>
      </c>
      <c r="D14" s="513">
        <f t="shared" si="2"/>
        <v>0.33608267468579978</v>
      </c>
      <c r="E14" s="513">
        <f t="shared" si="0"/>
        <v>-4.5680337743129018E-2</v>
      </c>
      <c r="F14" s="513">
        <f t="shared" ref="F14:F15" si="3">E14</f>
        <v>-4.5680337743129018E-2</v>
      </c>
      <c r="G14" s="546" t="s">
        <v>502</v>
      </c>
    </row>
    <row r="15" spans="1:7" ht="16.5" customHeight="1">
      <c r="A15" s="1477"/>
      <c r="B15" s="547" t="s">
        <v>503</v>
      </c>
      <c r="C15" s="548">
        <f t="shared" ref="C15:D15" si="4">C13/C11</f>
        <v>0.61823675590849603</v>
      </c>
      <c r="D15" s="548">
        <f t="shared" si="4"/>
        <v>0.66392955457368186</v>
      </c>
      <c r="E15" s="548">
        <f t="shared" si="0"/>
        <v>4.569279866518583E-2</v>
      </c>
      <c r="F15" s="548">
        <f t="shared" si="3"/>
        <v>4.569279866518583E-2</v>
      </c>
      <c r="G15" s="549"/>
    </row>
    <row r="16" spans="1:7" ht="16.5" customHeight="1">
      <c r="A16" s="1477"/>
      <c r="B16" s="540" t="s">
        <v>504</v>
      </c>
      <c r="C16" s="550">
        <v>12819508</v>
      </c>
      <c r="D16" s="550">
        <v>12580674</v>
      </c>
      <c r="E16" s="550">
        <f t="shared" si="0"/>
        <v>-238834</v>
      </c>
      <c r="F16" s="551">
        <f t="shared" ref="F16:F18" si="5">E16/C16</f>
        <v>-1.8630512185023013E-2</v>
      </c>
      <c r="G16" s="544" t="s">
        <v>505</v>
      </c>
    </row>
    <row r="17" spans="1:7" ht="16.5" customHeight="1">
      <c r="A17" s="1477"/>
      <c r="B17" s="545" t="s">
        <v>506</v>
      </c>
      <c r="C17" s="504">
        <v>7588782</v>
      </c>
      <c r="D17" s="504">
        <v>5750014</v>
      </c>
      <c r="E17" s="504">
        <f t="shared" si="0"/>
        <v>-1838768</v>
      </c>
      <c r="F17" s="512">
        <f t="shared" si="5"/>
        <v>-0.24230080663800857</v>
      </c>
      <c r="G17" s="546"/>
    </row>
    <row r="18" spans="1:7" ht="16.5" customHeight="1">
      <c r="A18" s="1477"/>
      <c r="B18" s="545" t="s">
        <v>507</v>
      </c>
      <c r="C18" s="504">
        <v>5230726</v>
      </c>
      <c r="D18" s="504">
        <v>6830660</v>
      </c>
      <c r="E18" s="504">
        <f t="shared" si="0"/>
        <v>1599934</v>
      </c>
      <c r="F18" s="512">
        <f t="shared" si="5"/>
        <v>0.30587226323841088</v>
      </c>
      <c r="G18" s="552"/>
    </row>
    <row r="19" spans="1:7" ht="16.5" customHeight="1">
      <c r="A19" s="1477"/>
      <c r="B19" s="545" t="s">
        <v>508</v>
      </c>
      <c r="C19" s="513">
        <f t="shared" ref="C19:D19" si="6">C17/C16</f>
        <v>0.59197139234984686</v>
      </c>
      <c r="D19" s="513">
        <f t="shared" si="6"/>
        <v>0.45705134716947599</v>
      </c>
      <c r="E19" s="513">
        <f t="shared" si="0"/>
        <v>-0.13492004518037087</v>
      </c>
      <c r="F19" s="513">
        <f t="shared" ref="F19:F20" si="7">E19</f>
        <v>-0.13492004518037087</v>
      </c>
      <c r="G19" s="546"/>
    </row>
    <row r="20" spans="1:7" ht="16.5" customHeight="1">
      <c r="A20" s="1477"/>
      <c r="B20" s="547" t="s">
        <v>509</v>
      </c>
      <c r="C20" s="548">
        <f t="shared" ref="C20:D20" si="8">C18/C16</f>
        <v>0.4080286076501532</v>
      </c>
      <c r="D20" s="548">
        <f t="shared" si="8"/>
        <v>0.54294865283052407</v>
      </c>
      <c r="E20" s="548">
        <f t="shared" si="0"/>
        <v>0.13492004518037087</v>
      </c>
      <c r="F20" s="548">
        <f t="shared" si="7"/>
        <v>0.13492004518037087</v>
      </c>
      <c r="G20" s="553"/>
    </row>
    <row r="21" spans="1:7" ht="16.5" customHeight="1">
      <c r="A21" s="1477"/>
      <c r="B21" s="540" t="s">
        <v>510</v>
      </c>
      <c r="C21" s="550">
        <v>2865035</v>
      </c>
      <c r="D21" s="550">
        <v>2221871</v>
      </c>
      <c r="E21" s="550">
        <f t="shared" si="0"/>
        <v>-643164</v>
      </c>
      <c r="F21" s="551">
        <f t="shared" ref="F21:F23" si="9">E21/C21</f>
        <v>-0.22448730992815097</v>
      </c>
      <c r="G21" s="544" t="s">
        <v>511</v>
      </c>
    </row>
    <row r="22" spans="1:7" ht="16.5" customHeight="1">
      <c r="A22" s="1477"/>
      <c r="B22" s="545" t="s">
        <v>512</v>
      </c>
      <c r="C22" s="504">
        <v>930882</v>
      </c>
      <c r="D22" s="504">
        <v>611415</v>
      </c>
      <c r="E22" s="504">
        <f t="shared" si="0"/>
        <v>-319467</v>
      </c>
      <c r="F22" s="512">
        <f t="shared" si="9"/>
        <v>-0.34318742869665542</v>
      </c>
      <c r="G22" s="546"/>
    </row>
    <row r="23" spans="1:7" ht="16.5" customHeight="1">
      <c r="A23" s="1477"/>
      <c r="B23" s="545" t="s">
        <v>513</v>
      </c>
      <c r="C23" s="504">
        <v>1934153</v>
      </c>
      <c r="D23" s="504">
        <v>1610456</v>
      </c>
      <c r="E23" s="504">
        <f t="shared" si="0"/>
        <v>-323697</v>
      </c>
      <c r="F23" s="512">
        <f t="shared" si="9"/>
        <v>-0.16735852851351471</v>
      </c>
      <c r="G23" s="552"/>
    </row>
    <row r="24" spans="1:7" ht="16.5" customHeight="1">
      <c r="A24" s="1477"/>
      <c r="B24" s="545" t="s">
        <v>514</v>
      </c>
      <c r="C24" s="513">
        <f t="shared" ref="C24:D24" si="10">C22/C21</f>
        <v>0.32491121399913092</v>
      </c>
      <c r="D24" s="513">
        <f t="shared" si="10"/>
        <v>0.2751802422372856</v>
      </c>
      <c r="E24" s="513">
        <f t="shared" si="0"/>
        <v>-4.9730971761845322E-2</v>
      </c>
      <c r="F24" s="513">
        <f t="shared" ref="F24:F25" si="11">E24</f>
        <v>-4.9730971761845322E-2</v>
      </c>
      <c r="G24" s="546"/>
    </row>
    <row r="25" spans="1:7" ht="16.5" customHeight="1">
      <c r="A25" s="1478"/>
      <c r="B25" s="554" t="s">
        <v>515</v>
      </c>
      <c r="C25" s="555">
        <f t="shared" ref="C25:D25" si="12">C23/C21</f>
        <v>0.67508878600086908</v>
      </c>
      <c r="D25" s="555">
        <f t="shared" si="12"/>
        <v>0.72481975776271435</v>
      </c>
      <c r="E25" s="555">
        <f t="shared" si="0"/>
        <v>4.9730971761845266E-2</v>
      </c>
      <c r="F25" s="555">
        <f t="shared" si="11"/>
        <v>4.9730971761845266E-2</v>
      </c>
      <c r="G25" s="556"/>
    </row>
    <row r="26" spans="1:7" ht="16.5" customHeight="1">
      <c r="A26" s="1479" t="s">
        <v>516</v>
      </c>
      <c r="B26" s="540" t="s">
        <v>517</v>
      </c>
      <c r="C26" s="557">
        <f t="shared" ref="C26:C28" si="13">C11/$C$73</f>
        <v>0.13103248286624183</v>
      </c>
      <c r="D26" s="557">
        <f t="shared" ref="D26:D28" si="14">D11/$C$74</f>
        <v>0.17119608597038999</v>
      </c>
      <c r="E26" s="557">
        <f t="shared" si="0"/>
        <v>4.0163603104148154E-2</v>
      </c>
      <c r="F26" s="543">
        <f>D26/C26-1</f>
        <v>0.30651638605632781</v>
      </c>
      <c r="G26" s="558"/>
    </row>
    <row r="27" spans="1:7" ht="16.5" customHeight="1">
      <c r="A27" s="1477"/>
      <c r="B27" s="545" t="s">
        <v>518</v>
      </c>
      <c r="C27" s="516">
        <f t="shared" si="13"/>
        <v>5.0023355385058477E-2</v>
      </c>
      <c r="D27" s="516">
        <f t="shared" si="14"/>
        <v>5.7536038468668782E-2</v>
      </c>
      <c r="E27" s="516">
        <f t="shared" si="0"/>
        <v>7.5126830836103053E-3</v>
      </c>
      <c r="F27" s="512">
        <f t="shared" ref="F27:F28" si="15">E27/C27</f>
        <v>0.1501835097981907</v>
      </c>
      <c r="G27" s="552"/>
    </row>
    <row r="28" spans="1:7" ht="16.5" customHeight="1">
      <c r="A28" s="1477"/>
      <c r="B28" s="545" t="s">
        <v>519</v>
      </c>
      <c r="C28" s="516">
        <f t="shared" si="13"/>
        <v>8.1009097125860935E-2</v>
      </c>
      <c r="D28" s="516">
        <f t="shared" si="14"/>
        <v>0.11366214110307878</v>
      </c>
      <c r="E28" s="516">
        <f t="shared" si="0"/>
        <v>3.2653043977217841E-2</v>
      </c>
      <c r="F28" s="512">
        <f t="shared" si="15"/>
        <v>0.40307872986765886</v>
      </c>
      <c r="G28" s="552"/>
    </row>
    <row r="29" spans="1:7" ht="16.5" customHeight="1">
      <c r="A29" s="1477"/>
      <c r="B29" s="545" t="s">
        <v>382</v>
      </c>
      <c r="C29" s="513">
        <f t="shared" ref="C29:D29" si="16">C27/C26</f>
        <v>0.38176301242892874</v>
      </c>
      <c r="D29" s="513">
        <f t="shared" si="16"/>
        <v>0.33608267468579972</v>
      </c>
      <c r="E29" s="513">
        <f t="shared" si="0"/>
        <v>-4.5680337743129018E-2</v>
      </c>
      <c r="F29" s="513">
        <f t="shared" ref="F29:F30" si="17">E29</f>
        <v>-4.5680337743129018E-2</v>
      </c>
      <c r="G29" s="552"/>
    </row>
    <row r="30" spans="1:7" ht="16.5" customHeight="1">
      <c r="A30" s="1477"/>
      <c r="B30" s="547" t="s">
        <v>503</v>
      </c>
      <c r="C30" s="548">
        <f t="shared" ref="C30:D30" si="18">C28/C26</f>
        <v>0.61823675590849603</v>
      </c>
      <c r="D30" s="548">
        <f t="shared" si="18"/>
        <v>0.66392955457368186</v>
      </c>
      <c r="E30" s="548">
        <f t="shared" si="0"/>
        <v>4.569279866518583E-2</v>
      </c>
      <c r="F30" s="548">
        <f t="shared" si="17"/>
        <v>4.569279866518583E-2</v>
      </c>
      <c r="G30" s="552"/>
    </row>
    <row r="31" spans="1:7" ht="16.5" customHeight="1">
      <c r="A31" s="1477"/>
      <c r="B31" s="540" t="s">
        <v>520</v>
      </c>
      <c r="C31" s="559">
        <f>C16/C73</f>
        <v>0.38914029841467507</v>
      </c>
      <c r="D31" s="559">
        <f>D16/C74</f>
        <v>0.65847290414017001</v>
      </c>
      <c r="E31" s="559">
        <f t="shared" si="0"/>
        <v>0.26933260572549494</v>
      </c>
      <c r="F31" s="551">
        <f t="shared" ref="F31:F33" si="19">E31/C31</f>
        <v>0.69212211334249729</v>
      </c>
      <c r="G31" s="552"/>
    </row>
    <row r="32" spans="1:7" ht="16.5" customHeight="1">
      <c r="A32" s="1477"/>
      <c r="B32" s="545" t="s">
        <v>506</v>
      </c>
      <c r="C32" s="516">
        <f t="shared" ref="C32:C33" si="20">C17/$C$73</f>
        <v>0.23035992427197008</v>
      </c>
      <c r="D32" s="516">
        <f t="shared" ref="D32:D33" si="21">D17/$C$74</f>
        <v>0.30095592791186188</v>
      </c>
      <c r="E32" s="516">
        <f t="shared" si="0"/>
        <v>7.0596003639891797E-2</v>
      </c>
      <c r="F32" s="512">
        <f t="shared" si="19"/>
        <v>0.30645957131216955</v>
      </c>
      <c r="G32" s="552"/>
    </row>
    <row r="33" spans="1:7" ht="16.5" customHeight="1">
      <c r="A33" s="1477"/>
      <c r="B33" s="545" t="s">
        <v>507</v>
      </c>
      <c r="C33" s="516">
        <f t="shared" si="20"/>
        <v>0.15878037414270499</v>
      </c>
      <c r="D33" s="516">
        <f t="shared" si="21"/>
        <v>0.35751697622830808</v>
      </c>
      <c r="E33" s="516">
        <f t="shared" si="0"/>
        <v>0.19873660208560309</v>
      </c>
      <c r="F33" s="512">
        <f t="shared" si="19"/>
        <v>1.2516446264762366</v>
      </c>
      <c r="G33" s="552"/>
    </row>
    <row r="34" spans="1:7" ht="16.5" customHeight="1">
      <c r="A34" s="1477"/>
      <c r="B34" s="545" t="s">
        <v>508</v>
      </c>
      <c r="C34" s="513">
        <f t="shared" ref="C34:D34" si="22">C32/C31</f>
        <v>0.59197139234984675</v>
      </c>
      <c r="D34" s="513">
        <f t="shared" si="22"/>
        <v>0.45705134716947593</v>
      </c>
      <c r="E34" s="513">
        <f t="shared" si="0"/>
        <v>-0.13492004518037082</v>
      </c>
      <c r="F34" s="513">
        <f t="shared" ref="F34:F35" si="23">E34</f>
        <v>-0.13492004518037082</v>
      </c>
      <c r="G34" s="552"/>
    </row>
    <row r="35" spans="1:7" ht="16.5" customHeight="1">
      <c r="A35" s="1477"/>
      <c r="B35" s="547" t="s">
        <v>509</v>
      </c>
      <c r="C35" s="548">
        <f t="shared" ref="C35:D35" si="24">C33/C31</f>
        <v>0.4080286076501532</v>
      </c>
      <c r="D35" s="548">
        <f t="shared" si="24"/>
        <v>0.54294865283052396</v>
      </c>
      <c r="E35" s="548">
        <f t="shared" si="0"/>
        <v>0.13492004518037076</v>
      </c>
      <c r="F35" s="548">
        <f t="shared" si="23"/>
        <v>0.13492004518037076</v>
      </c>
      <c r="G35" s="552"/>
    </row>
    <row r="36" spans="1:7" ht="16.5" customHeight="1">
      <c r="A36" s="1477"/>
      <c r="B36" s="540" t="s">
        <v>521</v>
      </c>
      <c r="C36" s="559">
        <f t="shared" ref="C36:C38" si="25">C21/$C$73</f>
        <v>8.6969061126876995E-2</v>
      </c>
      <c r="D36" s="559">
        <f t="shared" ref="D36:D38" si="26">D21/$C$74</f>
        <v>0.11629280354890553</v>
      </c>
      <c r="E36" s="559">
        <f t="shared" si="0"/>
        <v>2.9323742422028537E-2</v>
      </c>
      <c r="F36" s="551">
        <f t="shared" ref="F36:F38" si="27">E36/C36</f>
        <v>0.33717441630476913</v>
      </c>
      <c r="G36" s="552"/>
    </row>
    <row r="37" spans="1:7" ht="16.5" customHeight="1">
      <c r="A37" s="1477"/>
      <c r="B37" s="545" t="s">
        <v>512</v>
      </c>
      <c r="C37" s="516">
        <f t="shared" si="25"/>
        <v>2.8257223231098225E-2</v>
      </c>
      <c r="D37" s="516">
        <f t="shared" si="26"/>
        <v>3.2001481851040889E-2</v>
      </c>
      <c r="E37" s="516">
        <f t="shared" si="0"/>
        <v>3.7442586199426635E-3</v>
      </c>
      <c r="F37" s="512">
        <f t="shared" si="27"/>
        <v>0.13250624767057628</v>
      </c>
      <c r="G37" s="552"/>
    </row>
    <row r="38" spans="1:7" ht="16.5" customHeight="1">
      <c r="A38" s="1477"/>
      <c r="B38" s="545" t="s">
        <v>513</v>
      </c>
      <c r="C38" s="516">
        <f t="shared" si="25"/>
        <v>5.8711837895778766E-2</v>
      </c>
      <c r="D38" s="516">
        <f t="shared" si="26"/>
        <v>8.4291321697864643E-2</v>
      </c>
      <c r="E38" s="516">
        <f t="shared" si="0"/>
        <v>2.5579483802085877E-2</v>
      </c>
      <c r="F38" s="512">
        <f t="shared" si="27"/>
        <v>0.43567847164813378</v>
      </c>
      <c r="G38" s="552"/>
    </row>
    <row r="39" spans="1:7" ht="16.5" customHeight="1">
      <c r="A39" s="1477"/>
      <c r="B39" s="545" t="s">
        <v>514</v>
      </c>
      <c r="C39" s="513">
        <f t="shared" ref="C39:D39" si="28">C37/C36</f>
        <v>0.32491121399913087</v>
      </c>
      <c r="D39" s="513">
        <f t="shared" si="28"/>
        <v>0.2751802422372856</v>
      </c>
      <c r="E39" s="513">
        <f t="shared" si="0"/>
        <v>-4.9730971761845266E-2</v>
      </c>
      <c r="F39" s="513">
        <f t="shared" ref="F39:F40" si="29">E39</f>
        <v>-4.9730971761845266E-2</v>
      </c>
      <c r="G39" s="552"/>
    </row>
    <row r="40" spans="1:7" ht="16.5" customHeight="1">
      <c r="A40" s="1478"/>
      <c r="B40" s="547" t="s">
        <v>515</v>
      </c>
      <c r="C40" s="548">
        <f t="shared" ref="C40:D40" si="30">C38/C36</f>
        <v>0.67508878600086908</v>
      </c>
      <c r="D40" s="548">
        <f t="shared" si="30"/>
        <v>0.72481975776271446</v>
      </c>
      <c r="E40" s="548">
        <f t="shared" si="0"/>
        <v>4.9730971761845377E-2</v>
      </c>
      <c r="F40" s="548">
        <f t="shared" si="29"/>
        <v>4.9730971761845377E-2</v>
      </c>
      <c r="G40" s="553"/>
    </row>
    <row r="41" spans="1:7" ht="16.5" hidden="1" customHeight="1">
      <c r="A41" s="1479" t="s">
        <v>522</v>
      </c>
      <c r="B41" s="540" t="s">
        <v>523</v>
      </c>
      <c r="C41" s="557"/>
      <c r="D41" s="557"/>
      <c r="E41" s="557">
        <f t="shared" si="0"/>
        <v>0</v>
      </c>
      <c r="F41" s="543" t="e">
        <f>D41/C41-1</f>
        <v>#DIV/0!</v>
      </c>
      <c r="G41" s="558"/>
    </row>
    <row r="42" spans="1:7" ht="16.5" hidden="1" customHeight="1">
      <c r="A42" s="1477"/>
      <c r="B42" s="545" t="s">
        <v>518</v>
      </c>
      <c r="C42" s="516"/>
      <c r="D42" s="516"/>
      <c r="E42" s="516">
        <f t="shared" si="0"/>
        <v>0</v>
      </c>
      <c r="F42" s="512" t="e">
        <f t="shared" ref="F42:F43" si="31">E42/C42</f>
        <v>#DIV/0!</v>
      </c>
      <c r="G42" s="552"/>
    </row>
    <row r="43" spans="1:7" ht="16.5" hidden="1" customHeight="1">
      <c r="A43" s="1477"/>
      <c r="B43" s="545" t="s">
        <v>519</v>
      </c>
      <c r="C43" s="516"/>
      <c r="D43" s="516"/>
      <c r="E43" s="516">
        <f t="shared" si="0"/>
        <v>0</v>
      </c>
      <c r="F43" s="512" t="e">
        <f t="shared" si="31"/>
        <v>#DIV/0!</v>
      </c>
      <c r="G43" s="552"/>
    </row>
    <row r="44" spans="1:7" ht="16.5" hidden="1" customHeight="1">
      <c r="A44" s="1477"/>
      <c r="B44" s="545" t="s">
        <v>382</v>
      </c>
      <c r="C44" s="513"/>
      <c r="D44" s="513"/>
      <c r="E44" s="513">
        <f t="shared" si="0"/>
        <v>0</v>
      </c>
      <c r="F44" s="513">
        <f t="shared" ref="F44:F45" si="32">E44</f>
        <v>0</v>
      </c>
      <c r="G44" s="552"/>
    </row>
    <row r="45" spans="1:7" ht="16.5" hidden="1" customHeight="1">
      <c r="A45" s="1477"/>
      <c r="B45" s="547" t="s">
        <v>503</v>
      </c>
      <c r="C45" s="548"/>
      <c r="D45" s="548"/>
      <c r="E45" s="548">
        <f t="shared" si="0"/>
        <v>0</v>
      </c>
      <c r="F45" s="548">
        <f t="shared" si="32"/>
        <v>0</v>
      </c>
      <c r="G45" s="552"/>
    </row>
    <row r="46" spans="1:7" ht="16.5" hidden="1" customHeight="1">
      <c r="A46" s="1477"/>
      <c r="B46" s="540" t="s">
        <v>520</v>
      </c>
      <c r="C46" s="559"/>
      <c r="D46" s="559"/>
      <c r="E46" s="559">
        <f t="shared" si="0"/>
        <v>0</v>
      </c>
      <c r="F46" s="551" t="e">
        <f t="shared" ref="F46:F48" si="33">E46/C46</f>
        <v>#DIV/0!</v>
      </c>
      <c r="G46" s="552"/>
    </row>
    <row r="47" spans="1:7" ht="16.5" hidden="1" customHeight="1">
      <c r="A47" s="1477"/>
      <c r="B47" s="545" t="s">
        <v>506</v>
      </c>
      <c r="C47" s="516"/>
      <c r="D47" s="516"/>
      <c r="E47" s="516">
        <f t="shared" si="0"/>
        <v>0</v>
      </c>
      <c r="F47" s="512" t="e">
        <f t="shared" si="33"/>
        <v>#DIV/0!</v>
      </c>
      <c r="G47" s="552"/>
    </row>
    <row r="48" spans="1:7" ht="16.5" hidden="1" customHeight="1">
      <c r="A48" s="1477"/>
      <c r="B48" s="545" t="s">
        <v>507</v>
      </c>
      <c r="C48" s="516"/>
      <c r="D48" s="516"/>
      <c r="E48" s="516">
        <f t="shared" si="0"/>
        <v>0</v>
      </c>
      <c r="F48" s="512" t="e">
        <f t="shared" si="33"/>
        <v>#DIV/0!</v>
      </c>
      <c r="G48" s="552"/>
    </row>
    <row r="49" spans="1:7" ht="16.5" hidden="1" customHeight="1">
      <c r="A49" s="1477"/>
      <c r="B49" s="545" t="s">
        <v>508</v>
      </c>
      <c r="C49" s="513"/>
      <c r="D49" s="513"/>
      <c r="E49" s="513">
        <f t="shared" si="0"/>
        <v>0</v>
      </c>
      <c r="F49" s="513">
        <f t="shared" ref="F49:F50" si="34">E49</f>
        <v>0</v>
      </c>
      <c r="G49" s="552"/>
    </row>
    <row r="50" spans="1:7" ht="16.5" hidden="1" customHeight="1">
      <c r="A50" s="1477"/>
      <c r="B50" s="547" t="s">
        <v>509</v>
      </c>
      <c r="C50" s="548"/>
      <c r="D50" s="548"/>
      <c r="E50" s="548">
        <f t="shared" si="0"/>
        <v>0</v>
      </c>
      <c r="F50" s="548">
        <f t="shared" si="34"/>
        <v>0</v>
      </c>
      <c r="G50" s="552"/>
    </row>
    <row r="51" spans="1:7" ht="16.5" hidden="1" customHeight="1">
      <c r="A51" s="1477"/>
      <c r="B51" s="540" t="s">
        <v>521</v>
      </c>
      <c r="C51" s="559"/>
      <c r="D51" s="559"/>
      <c r="E51" s="559">
        <f t="shared" si="0"/>
        <v>0</v>
      </c>
      <c r="F51" s="551" t="e">
        <f t="shared" ref="F51:F53" si="35">E51/C51</f>
        <v>#DIV/0!</v>
      </c>
      <c r="G51" s="552"/>
    </row>
    <row r="52" spans="1:7" ht="16.5" hidden="1" customHeight="1">
      <c r="A52" s="1477"/>
      <c r="B52" s="545" t="s">
        <v>512</v>
      </c>
      <c r="C52" s="516"/>
      <c r="D52" s="516"/>
      <c r="E52" s="516">
        <f t="shared" si="0"/>
        <v>0</v>
      </c>
      <c r="F52" s="512" t="e">
        <f t="shared" si="35"/>
        <v>#DIV/0!</v>
      </c>
      <c r="G52" s="552"/>
    </row>
    <row r="53" spans="1:7" ht="16.5" hidden="1" customHeight="1">
      <c r="A53" s="1477"/>
      <c r="B53" s="545" t="s">
        <v>513</v>
      </c>
      <c r="C53" s="516"/>
      <c r="D53" s="516"/>
      <c r="E53" s="516">
        <f t="shared" si="0"/>
        <v>0</v>
      </c>
      <c r="F53" s="512" t="e">
        <f t="shared" si="35"/>
        <v>#DIV/0!</v>
      </c>
      <c r="G53" s="552"/>
    </row>
    <row r="54" spans="1:7" ht="16.5" hidden="1" customHeight="1">
      <c r="A54" s="1477"/>
      <c r="B54" s="545" t="s">
        <v>514</v>
      </c>
      <c r="C54" s="513"/>
      <c r="D54" s="513"/>
      <c r="E54" s="513">
        <f t="shared" si="0"/>
        <v>0</v>
      </c>
      <c r="F54" s="513">
        <f t="shared" ref="F54:F55" si="36">E54</f>
        <v>0</v>
      </c>
      <c r="G54" s="552"/>
    </row>
    <row r="55" spans="1:7" ht="16.5" hidden="1" customHeight="1">
      <c r="A55" s="1478"/>
      <c r="B55" s="547" t="s">
        <v>515</v>
      </c>
      <c r="C55" s="548"/>
      <c r="D55" s="548"/>
      <c r="E55" s="548">
        <f t="shared" si="0"/>
        <v>0</v>
      </c>
      <c r="F55" s="548">
        <f t="shared" si="36"/>
        <v>0</v>
      </c>
      <c r="G55" s="553"/>
    </row>
    <row r="56" spans="1:7" ht="35.25" customHeight="1">
      <c r="A56" s="1480" t="s">
        <v>524</v>
      </c>
      <c r="B56" s="560" t="s">
        <v>525</v>
      </c>
      <c r="C56" s="561">
        <v>10258</v>
      </c>
      <c r="D56" s="550">
        <v>6789</v>
      </c>
      <c r="E56" s="550">
        <f t="shared" si="0"/>
        <v>-3469</v>
      </c>
      <c r="F56" s="551">
        <f t="shared" ref="F56:F58" si="37">E56/C56</f>
        <v>-0.33817508286215636</v>
      </c>
      <c r="G56" s="544" t="s">
        <v>526</v>
      </c>
    </row>
    <row r="57" spans="1:7" ht="16.5" customHeight="1">
      <c r="A57" s="1481"/>
      <c r="B57" s="562" t="s">
        <v>527</v>
      </c>
      <c r="C57" s="504">
        <v>3916</v>
      </c>
      <c r="D57" s="504">
        <v>1628</v>
      </c>
      <c r="E57" s="504">
        <f t="shared" si="0"/>
        <v>-2288</v>
      </c>
      <c r="F57" s="512">
        <f t="shared" si="37"/>
        <v>-0.5842696629213483</v>
      </c>
      <c r="G57" s="552"/>
    </row>
    <row r="58" spans="1:7" ht="16.5" customHeight="1">
      <c r="A58" s="1481"/>
      <c r="B58" s="562" t="s">
        <v>528</v>
      </c>
      <c r="C58" s="504">
        <v>6342</v>
      </c>
      <c r="D58" s="504">
        <v>5161</v>
      </c>
      <c r="E58" s="504">
        <f t="shared" si="0"/>
        <v>-1181</v>
      </c>
      <c r="F58" s="512">
        <f t="shared" si="37"/>
        <v>-0.18621885840428887</v>
      </c>
      <c r="G58" s="546"/>
    </row>
    <row r="59" spans="1:7" ht="16.5" customHeight="1">
      <c r="A59" s="1481"/>
      <c r="B59" s="562" t="s">
        <v>529</v>
      </c>
      <c r="C59" s="512">
        <f t="shared" ref="C59:D59" si="38">C57/C56</f>
        <v>0.38175082862156368</v>
      </c>
      <c r="D59" s="512">
        <f t="shared" si="38"/>
        <v>0.23979967594638385</v>
      </c>
      <c r="E59" s="512">
        <f t="shared" si="0"/>
        <v>-0.14195115267517983</v>
      </c>
      <c r="F59" s="512">
        <f t="shared" ref="F59:F60" si="39">E59</f>
        <v>-0.14195115267517983</v>
      </c>
      <c r="G59" s="546"/>
    </row>
    <row r="60" spans="1:7" ht="16.5" customHeight="1">
      <c r="A60" s="1481"/>
      <c r="B60" s="562" t="s">
        <v>530</v>
      </c>
      <c r="C60" s="512">
        <f t="shared" ref="C60:D60" si="40">C58/C56</f>
        <v>0.61824917137843638</v>
      </c>
      <c r="D60" s="512">
        <f t="shared" si="40"/>
        <v>0.76020032405361615</v>
      </c>
      <c r="E60" s="512">
        <f t="shared" si="0"/>
        <v>0.14195115267517977</v>
      </c>
      <c r="F60" s="512">
        <f t="shared" si="39"/>
        <v>0.14195115267517977</v>
      </c>
      <c r="G60" s="546"/>
    </row>
    <row r="61" spans="1:7" ht="14.4">
      <c r="A61" s="1481"/>
      <c r="B61" s="562" t="s">
        <v>531</v>
      </c>
      <c r="C61" s="516">
        <f t="shared" ref="C61:D61" si="41">C56*1000/C11</f>
        <v>2.3763946955756849</v>
      </c>
      <c r="D61" s="516">
        <f t="shared" si="41"/>
        <v>2.0756110655231494</v>
      </c>
      <c r="E61" s="516">
        <f t="shared" si="0"/>
        <v>-0.3007836300525355</v>
      </c>
      <c r="F61" s="512">
        <f t="shared" ref="F61:F65" si="42">E61/C61</f>
        <v>-0.1265714111433287</v>
      </c>
      <c r="G61" s="546" t="s">
        <v>532</v>
      </c>
    </row>
    <row r="62" spans="1:7" ht="16.5" customHeight="1">
      <c r="A62" s="1481"/>
      <c r="B62" s="562" t="s">
        <v>533</v>
      </c>
      <c r="C62" s="516">
        <f t="shared" ref="C62:D62" si="43">C57*1000/C12</f>
        <v>2.3763188539298161</v>
      </c>
      <c r="D62" s="516">
        <f t="shared" si="43"/>
        <v>1.4809774451137752</v>
      </c>
      <c r="E62" s="516">
        <f t="shared" si="0"/>
        <v>-0.89534140881604096</v>
      </c>
      <c r="F62" s="512">
        <f t="shared" si="42"/>
        <v>-0.37677662967466596</v>
      </c>
      <c r="G62" s="546" t="s">
        <v>534</v>
      </c>
    </row>
    <row r="63" spans="1:7" ht="14.4">
      <c r="A63" s="1481"/>
      <c r="B63" s="562" t="s">
        <v>535</v>
      </c>
      <c r="C63" s="516">
        <f t="shared" ref="C63:D63" si="44">C58*1000/C13</f>
        <v>2.3764424184854396</v>
      </c>
      <c r="D63" s="516">
        <f t="shared" si="44"/>
        <v>2.3765777464646045</v>
      </c>
      <c r="E63" s="504">
        <f t="shared" si="0"/>
        <v>1.3532797916493422E-4</v>
      </c>
      <c r="F63" s="512">
        <f t="shared" si="42"/>
        <v>5.6945616738814903E-5</v>
      </c>
      <c r="G63" s="546"/>
    </row>
    <row r="64" spans="1:7" ht="14.4">
      <c r="A64" s="1482"/>
      <c r="B64" s="563" t="s">
        <v>536</v>
      </c>
      <c r="C64" s="564">
        <f>C56*1000/C73</f>
        <v>0.31138489723144891</v>
      </c>
      <c r="D64" s="564">
        <f>D56*1000/C74</f>
        <v>0.35533649041439386</v>
      </c>
      <c r="E64" s="564">
        <f t="shared" si="0"/>
        <v>4.3951593182944948E-2</v>
      </c>
      <c r="F64" s="565">
        <f t="shared" si="42"/>
        <v>0.14114876339129648</v>
      </c>
      <c r="G64" s="566"/>
    </row>
    <row r="65" spans="1:7" ht="14.25" customHeight="1">
      <c r="A65" s="567"/>
      <c r="B65" s="568" t="s">
        <v>537</v>
      </c>
      <c r="C65" s="569">
        <v>760227</v>
      </c>
      <c r="D65" s="569">
        <v>524516</v>
      </c>
      <c r="E65" s="570">
        <f t="shared" si="0"/>
        <v>-235711</v>
      </c>
      <c r="F65" s="571">
        <f t="shared" si="42"/>
        <v>-0.31005344456326861</v>
      </c>
      <c r="G65" s="572"/>
    </row>
    <row r="66" spans="1:7" ht="14.25" customHeight="1">
      <c r="A66" s="87"/>
      <c r="B66" s="87"/>
      <c r="C66" s="87"/>
      <c r="D66" s="87"/>
      <c r="E66" s="87"/>
      <c r="F66" s="87"/>
      <c r="G66" s="87"/>
    </row>
    <row r="67" spans="1:7" ht="14.25" customHeight="1">
      <c r="A67" s="87"/>
      <c r="B67" s="87"/>
      <c r="C67" s="87"/>
      <c r="D67" s="87"/>
      <c r="E67" s="87"/>
      <c r="F67" s="87"/>
      <c r="G67" s="87"/>
    </row>
    <row r="68" spans="1:7" ht="14.25" customHeight="1">
      <c r="A68" s="87"/>
      <c r="B68" s="573" t="s">
        <v>538</v>
      </c>
      <c r="C68" s="574" t="s">
        <v>539</v>
      </c>
      <c r="D68" s="575" t="s">
        <v>539</v>
      </c>
      <c r="E68" s="483"/>
      <c r="F68" s="483"/>
      <c r="G68" s="481"/>
    </row>
    <row r="69" spans="1:7" ht="14.25" customHeight="1">
      <c r="A69" s="87"/>
      <c r="B69" s="576" t="s">
        <v>540</v>
      </c>
      <c r="C69" s="577">
        <f>1628/1099000*1000</f>
        <v>1.481346678798908</v>
      </c>
      <c r="D69" s="578" t="s">
        <v>541</v>
      </c>
      <c r="E69" s="483"/>
      <c r="F69" s="483">
        <f>D57/2</f>
        <v>814</v>
      </c>
      <c r="G69" s="481"/>
    </row>
    <row r="70" spans="1:7" ht="14.25" customHeight="1">
      <c r="A70" s="87"/>
      <c r="B70" s="579" t="s">
        <v>542</v>
      </c>
      <c r="C70" s="580">
        <f t="shared" ref="C70:D70" si="45">4836/2035225*1000</f>
        <v>2.3761500571189917</v>
      </c>
      <c r="D70" s="580">
        <f t="shared" si="45"/>
        <v>2.3761500571189917</v>
      </c>
      <c r="E70" s="483"/>
      <c r="F70" s="483"/>
      <c r="G70" s="481"/>
    </row>
    <row r="71" spans="1:7" ht="14.25" customHeight="1">
      <c r="A71" s="87"/>
      <c r="B71" s="483"/>
      <c r="C71" s="483"/>
      <c r="E71" s="483"/>
      <c r="F71" s="483"/>
      <c r="G71" s="481"/>
    </row>
    <row r="72" spans="1:7" ht="14.25" customHeight="1">
      <c r="A72" s="87"/>
      <c r="B72" s="1449" t="s">
        <v>543</v>
      </c>
      <c r="C72" s="1393"/>
      <c r="D72" s="483"/>
      <c r="E72" s="483"/>
      <c r="F72" s="483"/>
      <c r="G72" s="481"/>
    </row>
    <row r="73" spans="1:7" ht="14.25" customHeight="1">
      <c r="A73" s="87"/>
      <c r="B73" s="426">
        <v>2021</v>
      </c>
      <c r="C73" s="427">
        <v>32943152</v>
      </c>
      <c r="D73" s="483"/>
      <c r="E73" s="537"/>
      <c r="F73" s="1483" t="s">
        <v>544</v>
      </c>
      <c r="G73" s="1484"/>
    </row>
    <row r="74" spans="1:7" ht="14.25" customHeight="1">
      <c r="A74" s="87"/>
      <c r="B74" s="426">
        <v>2022</v>
      </c>
      <c r="C74" s="427">
        <v>19105834</v>
      </c>
      <c r="E74" s="581"/>
      <c r="F74" s="581">
        <v>7733</v>
      </c>
      <c r="G74" s="481" t="s">
        <v>545</v>
      </c>
    </row>
    <row r="75" spans="1:7" ht="14.25" customHeight="1">
      <c r="A75" s="87"/>
      <c r="B75" s="483"/>
      <c r="C75" s="483"/>
      <c r="D75" s="483"/>
      <c r="E75" s="483"/>
      <c r="F75" s="483"/>
      <c r="G75" s="481"/>
    </row>
    <row r="76" spans="1:7" ht="14.25" customHeight="1">
      <c r="A76" s="87"/>
      <c r="B76" s="1449" t="s">
        <v>546</v>
      </c>
      <c r="C76" s="1393"/>
      <c r="D76" s="483"/>
      <c r="E76" s="483"/>
      <c r="F76" s="483"/>
      <c r="G76" s="481"/>
    </row>
    <row r="77" spans="1:7" ht="14.25" customHeight="1">
      <c r="A77" s="87"/>
      <c r="B77" s="426">
        <v>2021</v>
      </c>
      <c r="C77" s="427"/>
      <c r="D77" s="483"/>
      <c r="E77" s="483"/>
      <c r="F77" s="483"/>
      <c r="G77" s="481"/>
    </row>
    <row r="78" spans="1:7" ht="14.25" customHeight="1">
      <c r="A78" s="87"/>
      <c r="B78" s="426">
        <v>2022</v>
      </c>
      <c r="C78" s="427">
        <v>1058034</v>
      </c>
      <c r="D78" s="582">
        <f>C78/C74</f>
        <v>5.5377535469009101E-2</v>
      </c>
      <c r="E78" s="483"/>
      <c r="F78" s="483"/>
      <c r="G78" s="481"/>
    </row>
    <row r="84" spans="2:4" ht="14.25" customHeight="1">
      <c r="B84" s="583" t="s">
        <v>547</v>
      </c>
      <c r="C84" s="584"/>
      <c r="D84" s="585"/>
    </row>
    <row r="85" spans="2:4" ht="14.25" customHeight="1">
      <c r="B85" s="586" t="s">
        <v>548</v>
      </c>
      <c r="C85" s="587">
        <f>D11</f>
        <v>3270844</v>
      </c>
      <c r="D85" s="585"/>
    </row>
    <row r="86" spans="2:4" ht="14.25" customHeight="1">
      <c r="B86" s="586" t="s">
        <v>549</v>
      </c>
      <c r="C86" s="584">
        <v>2.11713</v>
      </c>
      <c r="D86" s="585" t="s">
        <v>539</v>
      </c>
    </row>
    <row r="87" spans="2:4" ht="14.25" customHeight="1">
      <c r="B87" s="586" t="s">
        <v>550</v>
      </c>
      <c r="C87" s="587">
        <f>C85*C86/1000</f>
        <v>6924.8019577200002</v>
      </c>
      <c r="D87" s="585" t="s">
        <v>551</v>
      </c>
    </row>
    <row r="88" spans="2:4" ht="14.25" customHeight="1">
      <c r="B88" s="483"/>
      <c r="C88" s="483"/>
      <c r="D88" s="483"/>
    </row>
    <row r="89" spans="2:4" ht="14.25" customHeight="1">
      <c r="B89" s="483"/>
      <c r="C89" s="483"/>
      <c r="D89" s="483"/>
    </row>
    <row r="90" spans="2:4" ht="14.25" customHeight="1">
      <c r="B90" s="483"/>
      <c r="C90" s="483"/>
      <c r="D90" s="483"/>
    </row>
    <row r="91" spans="2:4" ht="14.25" customHeight="1">
      <c r="B91" s="588" t="s">
        <v>552</v>
      </c>
      <c r="C91" s="483"/>
      <c r="D91" s="483"/>
    </row>
  </sheetData>
  <autoFilter ref="B10:G64" xr:uid="{00000000-0009-0000-0000-000008000000}"/>
  <mergeCells count="9">
    <mergeCell ref="B72:C72"/>
    <mergeCell ref="B76:C76"/>
    <mergeCell ref="B3:F5"/>
    <mergeCell ref="B9:G9"/>
    <mergeCell ref="A11:A25"/>
    <mergeCell ref="A26:A40"/>
    <mergeCell ref="A41:A55"/>
    <mergeCell ref="A56:A64"/>
    <mergeCell ref="F73:G73"/>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R45"/>
  <sheetViews>
    <sheetView showGridLines="0" workbookViewId="0"/>
  </sheetViews>
  <sheetFormatPr baseColWidth="10" defaultColWidth="12.6640625" defaultRowHeight="15" customHeight="1"/>
  <cols>
    <col min="1" max="1" width="4" customWidth="1"/>
    <col min="2" max="2" width="24.109375" customWidth="1"/>
    <col min="3" max="3" width="17.44140625" customWidth="1"/>
    <col min="4" max="4" width="16.109375" customWidth="1"/>
    <col min="5" max="5" width="17.6640625" customWidth="1"/>
    <col min="6" max="6" width="22.77734375" customWidth="1"/>
    <col min="7" max="9" width="12" customWidth="1"/>
    <col min="10" max="10" width="11.88671875" customWidth="1"/>
    <col min="11" max="13" width="8.6640625" customWidth="1"/>
    <col min="14" max="14" width="11.6640625" customWidth="1"/>
    <col min="15" max="15" width="13.44140625" customWidth="1"/>
    <col min="16" max="17" width="8.6640625" customWidth="1"/>
    <col min="18" max="19" width="14.44140625" customWidth="1"/>
  </cols>
  <sheetData>
    <row r="1" spans="1:18" ht="14.25" customHeight="1">
      <c r="A1" s="428" t="s">
        <v>553</v>
      </c>
      <c r="B1" s="429"/>
      <c r="C1" s="429"/>
      <c r="D1" s="589"/>
      <c r="E1" s="590"/>
      <c r="F1" s="429"/>
      <c r="G1" s="429"/>
      <c r="H1" s="430"/>
      <c r="I1" s="429"/>
      <c r="J1" s="429"/>
      <c r="K1" s="429"/>
      <c r="L1" s="429"/>
      <c r="M1" s="429"/>
      <c r="N1" s="429"/>
      <c r="O1" s="429"/>
      <c r="P1" s="429"/>
      <c r="Q1" s="429"/>
      <c r="R1" s="87"/>
    </row>
    <row r="2" spans="1:18" ht="14.25" customHeight="1">
      <c r="A2" s="431"/>
      <c r="B2" s="431"/>
      <c r="C2" s="431"/>
      <c r="D2" s="591"/>
      <c r="E2" s="592"/>
      <c r="F2" s="431"/>
      <c r="G2" s="431"/>
      <c r="H2" s="432"/>
      <c r="I2" s="431"/>
      <c r="J2" s="431"/>
      <c r="K2" s="431"/>
      <c r="L2" s="431"/>
      <c r="M2" s="431"/>
      <c r="N2" s="431"/>
      <c r="O2" s="431"/>
      <c r="P2" s="431"/>
      <c r="Q2" s="431"/>
      <c r="R2" s="87"/>
    </row>
    <row r="3" spans="1:18" ht="18" customHeight="1">
      <c r="A3" s="431"/>
      <c r="B3" s="1450" t="s">
        <v>420</v>
      </c>
      <c r="C3" s="1451"/>
      <c r="D3" s="1451"/>
      <c r="E3" s="1451"/>
      <c r="F3" s="1451"/>
      <c r="G3" s="1451"/>
      <c r="H3" s="1451"/>
      <c r="I3" s="1452"/>
      <c r="J3" s="431"/>
      <c r="K3" s="431"/>
      <c r="L3" s="593"/>
      <c r="M3" s="431"/>
      <c r="N3" s="431"/>
      <c r="O3" s="431"/>
      <c r="P3" s="431"/>
      <c r="Q3" s="431"/>
      <c r="R3" s="87"/>
    </row>
    <row r="4" spans="1:18" ht="14.25" customHeight="1">
      <c r="A4" s="431"/>
      <c r="B4" s="1453"/>
      <c r="C4" s="1454"/>
      <c r="D4" s="1454"/>
      <c r="E4" s="1454"/>
      <c r="F4" s="1454"/>
      <c r="G4" s="1454"/>
      <c r="H4" s="1454"/>
      <c r="I4" s="1455"/>
      <c r="J4" s="431"/>
      <c r="K4" s="431"/>
      <c r="L4" s="431"/>
      <c r="M4" s="431"/>
      <c r="N4" s="431"/>
      <c r="O4" s="431"/>
      <c r="P4" s="431"/>
      <c r="Q4" s="431"/>
      <c r="R4" s="87"/>
    </row>
    <row r="5" spans="1:18" ht="14.25" customHeight="1">
      <c r="A5" s="431"/>
      <c r="B5" s="435"/>
      <c r="C5" s="435"/>
      <c r="D5" s="594"/>
      <c r="E5" s="595"/>
      <c r="F5" s="435"/>
      <c r="G5" s="435"/>
      <c r="H5" s="435"/>
      <c r="I5" s="435"/>
      <c r="J5" s="431"/>
      <c r="K5" s="431"/>
      <c r="L5" s="431"/>
      <c r="M5" s="431"/>
      <c r="N5" s="431"/>
      <c r="O5" s="431"/>
      <c r="P5" s="431"/>
      <c r="Q5" s="431"/>
      <c r="R5" s="87"/>
    </row>
    <row r="6" spans="1:18" ht="21" customHeight="1">
      <c r="A6" s="431"/>
      <c r="B6" s="438" t="s">
        <v>426</v>
      </c>
      <c r="C6" s="439" t="s">
        <v>427</v>
      </c>
      <c r="D6" s="596"/>
      <c r="E6" s="597"/>
      <c r="F6" s="440"/>
      <c r="G6" s="440"/>
      <c r="H6" s="440"/>
      <c r="I6" s="440"/>
      <c r="J6" s="431"/>
      <c r="K6" s="431"/>
      <c r="L6" s="466"/>
      <c r="M6" s="431"/>
      <c r="N6" s="431"/>
      <c r="O6" s="431"/>
      <c r="P6" s="431"/>
      <c r="Q6" s="431"/>
      <c r="R6" s="87"/>
    </row>
    <row r="7" spans="1:18" ht="14.25" customHeight="1">
      <c r="A7" s="431"/>
      <c r="B7" s="431"/>
      <c r="C7" s="431"/>
      <c r="D7" s="591"/>
      <c r="E7" s="592"/>
      <c r="F7" s="431"/>
      <c r="G7" s="431"/>
      <c r="H7" s="432"/>
      <c r="I7" s="431"/>
      <c r="J7" s="431"/>
      <c r="K7" s="431"/>
      <c r="L7" s="431"/>
      <c r="M7" s="431"/>
      <c r="N7" s="431"/>
      <c r="O7" s="431"/>
      <c r="P7" s="431"/>
      <c r="Q7" s="431"/>
      <c r="R7" s="87"/>
    </row>
    <row r="8" spans="1:18" ht="15" customHeight="1">
      <c r="A8" s="445"/>
      <c r="B8" s="1459" t="s">
        <v>554</v>
      </c>
      <c r="C8" s="1460"/>
      <c r="D8" s="1460"/>
      <c r="E8" s="1460"/>
      <c r="F8" s="1460"/>
      <c r="G8" s="1460"/>
      <c r="H8" s="1460"/>
      <c r="I8" s="1461"/>
      <c r="J8" s="598" t="s">
        <v>423</v>
      </c>
      <c r="K8" s="598" t="s">
        <v>424</v>
      </c>
      <c r="L8" s="431"/>
      <c r="M8" s="431"/>
      <c r="N8" s="431"/>
      <c r="O8" s="431"/>
      <c r="P8" s="431"/>
      <c r="Q8" s="431"/>
      <c r="R8" s="87"/>
    </row>
    <row r="9" spans="1:18" ht="15" customHeight="1">
      <c r="A9" s="431"/>
      <c r="B9" s="451" t="s">
        <v>555</v>
      </c>
      <c r="C9" s="451" t="s">
        <v>431</v>
      </c>
      <c r="D9" s="451" t="s">
        <v>432</v>
      </c>
      <c r="E9" s="452" t="s">
        <v>433</v>
      </c>
      <c r="F9" s="451" t="s">
        <v>434</v>
      </c>
      <c r="G9" s="451" t="s">
        <v>435</v>
      </c>
      <c r="H9" s="452" t="s">
        <v>436</v>
      </c>
      <c r="I9" s="451" t="s">
        <v>114</v>
      </c>
      <c r="J9" s="453" t="s">
        <v>437</v>
      </c>
      <c r="K9" s="453" t="s">
        <v>437</v>
      </c>
      <c r="L9" s="431"/>
      <c r="M9" s="431"/>
      <c r="N9" s="431"/>
      <c r="O9" s="431"/>
      <c r="P9" s="431"/>
      <c r="Q9" s="431"/>
      <c r="R9" s="87"/>
    </row>
    <row r="10" spans="1:18" ht="15" customHeight="1">
      <c r="A10" s="431"/>
      <c r="B10" s="454"/>
      <c r="C10" s="454" t="s">
        <v>556</v>
      </c>
      <c r="D10" s="455">
        <v>4.5033229380000002</v>
      </c>
      <c r="E10" s="599">
        <v>2036023</v>
      </c>
      <c r="F10" s="457" t="s">
        <v>439</v>
      </c>
      <c r="G10" s="457">
        <v>2022</v>
      </c>
      <c r="H10" s="490">
        <f t="shared" ref="H10:H11" si="0">+E10/D10</f>
        <v>452115.69945819414</v>
      </c>
      <c r="I10" s="457" t="s">
        <v>440</v>
      </c>
      <c r="J10" s="437">
        <f>+H10*VLOOKUP(F10,'Factores Emisión EDGE'!$K$7:$L$13,2,FALSE)/1000</f>
        <v>1238.8698071430647</v>
      </c>
      <c r="K10" s="437">
        <f>+H10*VLOOKUP(F10,'Factores Emisión EDGE'!$K$254:$L$260,2,FALSE)/1000</f>
        <v>60.710096123246302</v>
      </c>
      <c r="L10" s="466"/>
      <c r="M10" s="431"/>
      <c r="Q10" s="431"/>
      <c r="R10" s="87"/>
    </row>
    <row r="11" spans="1:18" ht="15" customHeight="1">
      <c r="A11" s="431"/>
      <c r="B11" s="454"/>
      <c r="C11" s="454" t="s">
        <v>557</v>
      </c>
      <c r="D11" s="455">
        <v>4.5327571369999999</v>
      </c>
      <c r="E11" s="599">
        <v>4824888</v>
      </c>
      <c r="F11" s="457" t="s">
        <v>439</v>
      </c>
      <c r="G11" s="457">
        <v>2021</v>
      </c>
      <c r="H11" s="490">
        <f t="shared" si="0"/>
        <v>1064448.8231269647</v>
      </c>
      <c r="I11" s="457" t="s">
        <v>440</v>
      </c>
      <c r="J11" s="437">
        <f>+H11*VLOOKUP(F11,'Factores Emisión EDGE'!$K$7:$L$13,2,FALSE)/1000</f>
        <v>2916.7611516284069</v>
      </c>
      <c r="K11" s="437">
        <f>+H11*VLOOKUP(F11,'Factores Emisión EDGE'!$K$254:$L$260,2,FALSE)/1000</f>
        <v>142.93418796948882</v>
      </c>
      <c r="L11" s="466"/>
      <c r="M11" s="431"/>
      <c r="Q11" s="431"/>
      <c r="R11" s="87"/>
    </row>
    <row r="12" spans="1:18" ht="15" customHeight="1">
      <c r="A12" s="462"/>
      <c r="B12" s="600" t="s">
        <v>87</v>
      </c>
      <c r="C12" s="601"/>
      <c r="D12" s="602">
        <f>E12/H12</f>
        <v>4.5239822624261228</v>
      </c>
      <c r="E12" s="603">
        <f>E11+E10</f>
        <v>6860911</v>
      </c>
      <c r="F12" s="604"/>
      <c r="G12" s="604"/>
      <c r="H12" s="603">
        <f>H11+H10</f>
        <v>1516564.5225851589</v>
      </c>
      <c r="I12" s="605"/>
      <c r="J12" s="606">
        <f t="shared" ref="J12:K12" si="1">J11+J10</f>
        <v>4155.6309587714713</v>
      </c>
      <c r="K12" s="491">
        <f t="shared" si="1"/>
        <v>203.64428409273512</v>
      </c>
      <c r="L12" s="491">
        <f>K12+J12</f>
        <v>4359.2752428642061</v>
      </c>
      <c r="M12" s="444"/>
      <c r="Q12" s="444"/>
      <c r="R12" s="87"/>
    </row>
    <row r="13" spans="1:18" ht="15" customHeight="1">
      <c r="A13" s="481"/>
      <c r="B13" s="482"/>
      <c r="C13" s="482"/>
      <c r="D13" s="482"/>
      <c r="F13" s="482"/>
      <c r="G13" s="482"/>
      <c r="H13" s="482"/>
      <c r="I13" s="482"/>
      <c r="J13" s="607"/>
      <c r="K13" s="607"/>
      <c r="L13" s="481"/>
      <c r="M13" s="481"/>
      <c r="Q13" s="481"/>
      <c r="R13" s="483"/>
    </row>
    <row r="14" spans="1:18" ht="15" customHeight="1">
      <c r="A14" s="481"/>
      <c r="B14" s="482"/>
      <c r="C14" s="482"/>
      <c r="D14" s="482"/>
      <c r="E14" s="482"/>
      <c r="F14" s="482"/>
      <c r="G14" s="482"/>
      <c r="H14" s="482"/>
      <c r="I14" s="482"/>
      <c r="J14" s="607"/>
      <c r="K14" s="607"/>
      <c r="L14" s="481"/>
      <c r="M14" s="481"/>
      <c r="O14" s="1493" t="s">
        <v>558</v>
      </c>
      <c r="P14" s="1392"/>
      <c r="Q14" s="1392"/>
      <c r="R14" s="1393"/>
    </row>
    <row r="15" spans="1:18" ht="15" customHeight="1">
      <c r="A15" s="481"/>
      <c r="B15" s="482"/>
      <c r="C15" s="482"/>
      <c r="D15" s="482"/>
      <c r="E15" s="482"/>
      <c r="F15" s="482"/>
      <c r="G15" s="482"/>
      <c r="H15" s="482"/>
      <c r="I15" s="482"/>
      <c r="J15" s="607"/>
      <c r="K15" s="607"/>
      <c r="L15" s="481"/>
      <c r="M15" s="481"/>
      <c r="O15" s="433"/>
      <c r="P15" s="433" t="s">
        <v>423</v>
      </c>
      <c r="Q15" s="433" t="s">
        <v>424</v>
      </c>
      <c r="R15" s="433" t="s">
        <v>87</v>
      </c>
    </row>
    <row r="16" spans="1:18" ht="15" customHeight="1">
      <c r="A16" s="450"/>
      <c r="B16" s="1459" t="s">
        <v>559</v>
      </c>
      <c r="C16" s="1460"/>
      <c r="D16" s="1460"/>
      <c r="E16" s="1460"/>
      <c r="F16" s="1460"/>
      <c r="G16" s="1460"/>
      <c r="H16" s="1460"/>
      <c r="I16" s="1461"/>
      <c r="J16" s="608" t="s">
        <v>50</v>
      </c>
      <c r="K16" s="608" t="s">
        <v>54</v>
      </c>
      <c r="L16" s="450"/>
      <c r="M16" s="450"/>
      <c r="N16" s="433" t="s">
        <v>425</v>
      </c>
      <c r="O16" s="433" t="s">
        <v>50</v>
      </c>
      <c r="P16" s="437">
        <f t="shared" ref="P16:Q16" si="2">J10</f>
        <v>1238.8698071430647</v>
      </c>
      <c r="Q16" s="437">
        <f t="shared" si="2"/>
        <v>60.710096123246302</v>
      </c>
      <c r="R16" s="437">
        <f t="shared" ref="R16:R17" si="3">Q16+P16</f>
        <v>1299.579903266311</v>
      </c>
    </row>
    <row r="17" spans="2:18" ht="14.25" customHeight="1">
      <c r="B17" s="451" t="s">
        <v>555</v>
      </c>
      <c r="C17" s="451" t="s">
        <v>431</v>
      </c>
      <c r="D17" s="451" t="s">
        <v>432</v>
      </c>
      <c r="E17" s="452" t="s">
        <v>433</v>
      </c>
      <c r="F17" s="451" t="s">
        <v>434</v>
      </c>
      <c r="G17" s="451" t="s">
        <v>435</v>
      </c>
      <c r="H17" s="452" t="s">
        <v>436</v>
      </c>
      <c r="I17" s="451" t="s">
        <v>114</v>
      </c>
      <c r="J17" s="609" t="s">
        <v>437</v>
      </c>
      <c r="K17" s="609" t="s">
        <v>437</v>
      </c>
      <c r="L17" s="431"/>
      <c r="M17" s="431"/>
      <c r="N17" s="433" t="s">
        <v>428</v>
      </c>
      <c r="O17" s="442" t="s">
        <v>54</v>
      </c>
      <c r="P17" s="443">
        <v>2917</v>
      </c>
      <c r="Q17" s="443">
        <v>142</v>
      </c>
      <c r="R17" s="443">
        <f t="shared" si="3"/>
        <v>3059</v>
      </c>
    </row>
    <row r="18" spans="2:18" ht="16.5" customHeight="1">
      <c r="B18" s="454"/>
      <c r="C18" s="454" t="s">
        <v>560</v>
      </c>
      <c r="D18" s="610">
        <v>3</v>
      </c>
      <c r="E18" s="599">
        <v>5420945</v>
      </c>
      <c r="F18" s="457" t="s">
        <v>439</v>
      </c>
      <c r="G18" s="457">
        <v>2021</v>
      </c>
      <c r="H18" s="490">
        <f t="shared" ref="H18:H23" si="4">+E18/D18</f>
        <v>1806981.6666666667</v>
      </c>
      <c r="I18" s="457" t="s">
        <v>440</v>
      </c>
      <c r="J18" s="437">
        <f>+H18*VLOOKUP(F18,'Factores Emisión EDGE'!$K$7:$L$13,2,FALSE)/1000</f>
        <v>4951.4206907150001</v>
      </c>
      <c r="K18" s="437">
        <f>+H18*VLOOKUP(F18,'Factores Emisión EDGE'!$K$254:$L$260,2,FALSE)/1000</f>
        <v>242.64149819999997</v>
      </c>
      <c r="L18" s="466"/>
      <c r="M18" s="431"/>
      <c r="O18" s="442" t="s">
        <v>87</v>
      </c>
      <c r="P18" s="443">
        <f t="shared" ref="P18:Q18" si="5">P17+P16</f>
        <v>4155.8698071430645</v>
      </c>
      <c r="Q18" s="443">
        <f t="shared" si="5"/>
        <v>202.7100961232463</v>
      </c>
      <c r="R18" s="443">
        <f>SUM(R16:R17)</f>
        <v>4358.5799032663108</v>
      </c>
    </row>
    <row r="19" spans="2:18" ht="16.5" customHeight="1">
      <c r="B19" s="454"/>
      <c r="C19" s="454" t="s">
        <v>561</v>
      </c>
      <c r="D19" s="610">
        <v>4</v>
      </c>
      <c r="E19" s="599">
        <v>31705</v>
      </c>
      <c r="F19" s="457" t="s">
        <v>439</v>
      </c>
      <c r="G19" s="457">
        <v>2021</v>
      </c>
      <c r="H19" s="490">
        <f t="shared" si="4"/>
        <v>7926.25</v>
      </c>
      <c r="I19" s="457" t="s">
        <v>440</v>
      </c>
      <c r="J19" s="437">
        <f>+H19*VLOOKUP(F19,'Factores Emisión EDGE'!$K$7:$L$13,2,FALSE)/1000</f>
        <v>21.719201126250002</v>
      </c>
      <c r="K19" s="437">
        <f>+H19*VLOOKUP(F19,'Factores Emisión EDGE'!$K$254:$L$260,2,FALSE)/1000</f>
        <v>1.0643368499999999</v>
      </c>
      <c r="L19" s="466"/>
      <c r="M19" s="431"/>
      <c r="O19" s="481"/>
      <c r="P19" s="431"/>
      <c r="Q19" s="481"/>
      <c r="R19" s="87"/>
    </row>
    <row r="20" spans="2:18" ht="16.5" customHeight="1">
      <c r="B20" s="454"/>
      <c r="C20" s="454" t="s">
        <v>562</v>
      </c>
      <c r="D20" s="610">
        <v>2.7</v>
      </c>
      <c r="E20" s="599">
        <v>31501</v>
      </c>
      <c r="F20" s="457" t="s">
        <v>439</v>
      </c>
      <c r="G20" s="457">
        <v>2021</v>
      </c>
      <c r="H20" s="490">
        <f t="shared" si="4"/>
        <v>11667.037037037036</v>
      </c>
      <c r="I20" s="457" t="s">
        <v>440</v>
      </c>
      <c r="J20" s="437">
        <f>+H20*VLOOKUP(F20,'Factores Emisión EDGE'!$K$7:$L$13,2,FALSE)/1000</f>
        <v>31.969559874444442</v>
      </c>
      <c r="K20" s="437">
        <f>+H20*VLOOKUP(F20,'Factores Emisión EDGE'!$K$254:$L$260,2,FALSE)/1000</f>
        <v>1.5666497333333329</v>
      </c>
      <c r="L20" s="466"/>
      <c r="M20" s="431"/>
      <c r="O20" s="481"/>
      <c r="P20" s="481"/>
      <c r="Q20" s="481"/>
      <c r="R20" s="87"/>
    </row>
    <row r="21" spans="2:18" ht="16.5" customHeight="1">
      <c r="B21" s="454"/>
      <c r="C21" s="454" t="s">
        <v>563</v>
      </c>
      <c r="D21" s="610">
        <v>2.7</v>
      </c>
      <c r="E21" s="599">
        <v>350888</v>
      </c>
      <c r="F21" s="457" t="s">
        <v>439</v>
      </c>
      <c r="G21" s="457">
        <v>2021</v>
      </c>
      <c r="H21" s="490">
        <f t="shared" si="4"/>
        <v>129958.51851851851</v>
      </c>
      <c r="I21" s="457" t="s">
        <v>440</v>
      </c>
      <c r="J21" s="437">
        <f>+H21*VLOOKUP(F21,'Factores Emisión EDGE'!$K$7:$L$13,2,FALSE)/1000</f>
        <v>356.10726406222221</v>
      </c>
      <c r="K21" s="437">
        <f>+H21*VLOOKUP(F21,'Factores Emisión EDGE'!$K$254:$L$260,2,FALSE)/1000</f>
        <v>17.450829866666663</v>
      </c>
      <c r="L21" s="466"/>
      <c r="M21" s="431"/>
      <c r="O21" s="611" t="s">
        <v>444</v>
      </c>
      <c r="P21" s="612"/>
      <c r="Q21" s="613"/>
      <c r="R21" s="87"/>
    </row>
    <row r="22" spans="2:18" ht="16.5" customHeight="1">
      <c r="B22" s="454"/>
      <c r="C22" s="454" t="s">
        <v>564</v>
      </c>
      <c r="D22" s="610">
        <v>10</v>
      </c>
      <c r="E22" s="599">
        <v>161181</v>
      </c>
      <c r="F22" s="457" t="s">
        <v>565</v>
      </c>
      <c r="G22" s="457">
        <v>2021</v>
      </c>
      <c r="H22" s="490">
        <f t="shared" si="4"/>
        <v>16118.1</v>
      </c>
      <c r="I22" s="457" t="s">
        <v>440</v>
      </c>
      <c r="J22" s="437">
        <f>+H22*VLOOKUP(F22,'Factores Emisión EDGE'!$K$7:$L$13,2,FALSE)/1000</f>
        <v>44.166189014100006</v>
      </c>
      <c r="K22" s="437">
        <f>+H22*VLOOKUP(F22,'Factores Emisión EDGE'!$K$254:$L$260,2,FALSE)/1000</f>
        <v>2.164338468</v>
      </c>
      <c r="L22" s="466"/>
      <c r="M22" s="431"/>
      <c r="N22" s="614"/>
      <c r="O22" s="615" t="s">
        <v>453</v>
      </c>
      <c r="P22" s="616">
        <f>H12</f>
        <v>1516564.5225851589</v>
      </c>
      <c r="Q22" s="617" t="str">
        <f>I11</f>
        <v>Lt</v>
      </c>
      <c r="R22" s="87"/>
    </row>
    <row r="23" spans="2:18" ht="16.5" customHeight="1">
      <c r="B23" s="454"/>
      <c r="C23" s="454" t="s">
        <v>566</v>
      </c>
      <c r="D23" s="610">
        <v>2.7</v>
      </c>
      <c r="E23" s="599">
        <v>411153</v>
      </c>
      <c r="F23" s="457" t="s">
        <v>439</v>
      </c>
      <c r="G23" s="457">
        <v>2021</v>
      </c>
      <c r="H23" s="490">
        <f t="shared" si="4"/>
        <v>152278.88888888888</v>
      </c>
      <c r="I23" s="457" t="s">
        <v>440</v>
      </c>
      <c r="J23" s="437">
        <f>+H23*VLOOKUP(F23,'Factores Emisión EDGE'!$K$7:$L$13,2,FALSE)/1000</f>
        <v>417.26867245666665</v>
      </c>
      <c r="K23" s="437">
        <f>+H23*VLOOKUP(F23,'Factores Emisión EDGE'!$K$254:$L$260,2,FALSE)/1000</f>
        <v>20.448009199999998</v>
      </c>
      <c r="L23" s="466"/>
      <c r="M23" s="431"/>
      <c r="N23" s="593"/>
      <c r="O23" s="450"/>
      <c r="P23" s="485"/>
      <c r="Q23" s="485"/>
      <c r="R23" s="87"/>
    </row>
    <row r="24" spans="2:18" ht="16.5" customHeight="1">
      <c r="B24" s="454"/>
      <c r="C24" s="454" t="s">
        <v>20</v>
      </c>
      <c r="D24" s="610">
        <v>2.93</v>
      </c>
      <c r="E24" s="599">
        <v>7489933</v>
      </c>
      <c r="F24" s="457" t="s">
        <v>439</v>
      </c>
      <c r="G24" s="457">
        <v>2021</v>
      </c>
      <c r="H24" s="490">
        <v>3042567</v>
      </c>
      <c r="I24" s="457" t="s">
        <v>440</v>
      </c>
      <c r="J24" s="437">
        <v>4702.8599999999997</v>
      </c>
      <c r="K24" s="437">
        <v>230.91300000000001</v>
      </c>
      <c r="L24" s="466"/>
      <c r="M24" s="431"/>
      <c r="N24" s="593"/>
      <c r="O24" s="593"/>
      <c r="P24" s="450"/>
      <c r="Q24" s="450"/>
      <c r="R24" s="87"/>
    </row>
    <row r="25" spans="2:18" ht="16.5" customHeight="1">
      <c r="B25" s="600" t="s">
        <v>87</v>
      </c>
      <c r="C25" s="601"/>
      <c r="D25" s="602">
        <f>E25/H25</f>
        <v>2.6893687136929549</v>
      </c>
      <c r="E25" s="603">
        <f>+SUM(E18:E24)</f>
        <v>13897306</v>
      </c>
      <c r="F25" s="601"/>
      <c r="G25" s="601"/>
      <c r="H25" s="603">
        <f>SUM(H18:H24)</f>
        <v>5167497.4611111116</v>
      </c>
      <c r="I25" s="605"/>
      <c r="J25" s="606">
        <f t="shared" ref="J25:K25" si="6">+SUM(J18:J24)</f>
        <v>10525.511577248682</v>
      </c>
      <c r="K25" s="491">
        <f t="shared" si="6"/>
        <v>516.24866231800002</v>
      </c>
      <c r="L25" s="491">
        <f>K25+J25</f>
        <v>11041.760239566682</v>
      </c>
      <c r="M25" s="431"/>
      <c r="N25" s="431"/>
      <c r="R25" s="87"/>
    </row>
    <row r="26" spans="2:18" ht="14.25" customHeight="1">
      <c r="B26" s="618" t="s">
        <v>567</v>
      </c>
      <c r="C26" s="450"/>
      <c r="D26" s="619"/>
      <c r="F26" s="450"/>
      <c r="G26" s="450"/>
      <c r="H26" s="620"/>
      <c r="I26" s="450"/>
      <c r="J26" s="432"/>
      <c r="K26" s="431"/>
      <c r="L26" s="431"/>
      <c r="M26" s="431"/>
      <c r="N26" s="431"/>
      <c r="R26" s="87"/>
    </row>
    <row r="27" spans="2:18" ht="14.25" customHeight="1">
      <c r="B27" s="431"/>
      <c r="C27" s="431"/>
      <c r="D27" s="591"/>
      <c r="E27" s="621"/>
      <c r="F27" s="431"/>
      <c r="G27" s="431"/>
      <c r="H27" s="432"/>
      <c r="I27" s="431"/>
      <c r="J27" s="431"/>
      <c r="K27" s="431"/>
      <c r="L27" s="431"/>
      <c r="M27" s="431"/>
      <c r="N27" s="431"/>
      <c r="O27" s="431"/>
      <c r="P27" s="431"/>
      <c r="Q27" s="431"/>
      <c r="R27" s="87"/>
    </row>
    <row r="28" spans="2:18" ht="14.25" customHeight="1">
      <c r="B28" s="444"/>
      <c r="C28" s="444"/>
      <c r="D28" s="622"/>
      <c r="E28" s="623"/>
      <c r="F28" s="444"/>
      <c r="G28" s="444"/>
      <c r="H28" s="492"/>
      <c r="I28" s="444"/>
      <c r="J28" s="444"/>
      <c r="K28" s="431"/>
      <c r="L28" s="431"/>
      <c r="M28" s="431"/>
      <c r="N28" s="431"/>
      <c r="O28" s="431"/>
      <c r="P28" s="431"/>
      <c r="Q28" s="431"/>
      <c r="R28" s="87"/>
    </row>
    <row r="29" spans="2:18" ht="14.25" customHeight="1">
      <c r="B29" s="1494" t="s">
        <v>468</v>
      </c>
      <c r="C29" s="1495"/>
      <c r="D29" s="1495"/>
      <c r="E29" s="1495"/>
      <c r="F29" s="1495"/>
      <c r="G29" s="1495"/>
      <c r="H29" s="1495"/>
      <c r="I29" s="1495"/>
      <c r="J29" s="1496"/>
      <c r="L29" s="434"/>
      <c r="M29" s="431"/>
      <c r="N29" s="431"/>
      <c r="O29" s="431"/>
      <c r="P29" s="431"/>
      <c r="Q29" s="431"/>
      <c r="R29" s="87"/>
    </row>
    <row r="30" spans="2:18" ht="14.25" customHeight="1">
      <c r="B30" s="500" t="s">
        <v>269</v>
      </c>
      <c r="C30" s="501">
        <v>2021</v>
      </c>
      <c r="D30" s="501">
        <v>2022</v>
      </c>
      <c r="E30" s="501"/>
      <c r="F30" s="501" t="s">
        <v>469</v>
      </c>
      <c r="G30" s="1492" t="s">
        <v>496</v>
      </c>
      <c r="H30" s="1484"/>
      <c r="I30" s="1484"/>
      <c r="J30" s="1484"/>
      <c r="K30" s="1486"/>
      <c r="L30" s="431"/>
      <c r="M30" s="431"/>
      <c r="N30" s="431"/>
      <c r="O30" s="431"/>
      <c r="P30" s="431"/>
      <c r="Q30" s="431"/>
      <c r="R30" s="87"/>
    </row>
    <row r="31" spans="2:18" ht="46.5" customHeight="1">
      <c r="B31" s="625" t="s">
        <v>471</v>
      </c>
      <c r="C31" s="626">
        <f>E25</f>
        <v>13897306</v>
      </c>
      <c r="D31" s="626">
        <f>E12</f>
        <v>6860911</v>
      </c>
      <c r="E31" s="626">
        <f t="shared" ref="E31:E35" si="7">D31-C31</f>
        <v>-7036395</v>
      </c>
      <c r="F31" s="627">
        <f t="shared" ref="F31:F35" si="8">D31/C31-1</f>
        <v>-0.50631359775772367</v>
      </c>
      <c r="G31" s="1487" t="s">
        <v>568</v>
      </c>
      <c r="H31" s="1484"/>
      <c r="I31" s="1484"/>
      <c r="J31" s="1484"/>
      <c r="K31" s="1486"/>
      <c r="L31" s="431"/>
      <c r="M31" s="431"/>
      <c r="N31" s="431"/>
      <c r="O31" s="431"/>
      <c r="P31" s="431"/>
      <c r="Q31" s="431"/>
      <c r="R31" s="87"/>
    </row>
    <row r="32" spans="2:18" ht="40.5" customHeight="1">
      <c r="B32" s="503" t="s">
        <v>377</v>
      </c>
      <c r="C32" s="516">
        <f>C31/C38</f>
        <v>0.42185720419223999</v>
      </c>
      <c r="D32" s="516">
        <f>D31/C39</f>
        <v>0.35910031459500802</v>
      </c>
      <c r="E32" s="516">
        <f t="shared" si="7"/>
        <v>-6.2756889597231968E-2</v>
      </c>
      <c r="F32" s="512">
        <f t="shared" si="8"/>
        <v>-0.14876334687088499</v>
      </c>
      <c r="G32" s="1485" t="s">
        <v>569</v>
      </c>
      <c r="H32" s="1484"/>
      <c r="I32" s="1484"/>
      <c r="J32" s="1484"/>
      <c r="K32" s="1486"/>
      <c r="L32" s="431"/>
      <c r="M32" s="431"/>
      <c r="N32" s="431"/>
      <c r="O32" s="431"/>
      <c r="P32" s="431"/>
      <c r="Q32" s="431"/>
      <c r="R32" s="87"/>
    </row>
    <row r="33" spans="2:11" ht="20.25" customHeight="1">
      <c r="B33" s="503" t="s">
        <v>570</v>
      </c>
      <c r="C33" s="628">
        <f>D25</f>
        <v>2.6893687136929549</v>
      </c>
      <c r="D33" s="628">
        <v>4.5</v>
      </c>
      <c r="E33" s="628">
        <f t="shared" si="7"/>
        <v>1.8106312863070451</v>
      </c>
      <c r="F33" s="512">
        <f t="shared" si="8"/>
        <v>0.67325513124630065</v>
      </c>
      <c r="G33" s="629" t="s">
        <v>571</v>
      </c>
      <c r="H33" s="504"/>
      <c r="I33" s="504"/>
      <c r="J33" s="504"/>
      <c r="K33" s="630"/>
    </row>
    <row r="34" spans="2:11" ht="72.75" customHeight="1">
      <c r="B34" s="508" t="s">
        <v>490</v>
      </c>
      <c r="C34" s="631">
        <f>J25+K25</f>
        <v>11041.760239566682</v>
      </c>
      <c r="D34" s="632">
        <f>J12+K12</f>
        <v>4359.2752428642061</v>
      </c>
      <c r="E34" s="632">
        <f t="shared" si="7"/>
        <v>-6682.4849967024757</v>
      </c>
      <c r="F34" s="512">
        <f t="shared" si="8"/>
        <v>-0.60520105958800641</v>
      </c>
      <c r="G34" s="1487" t="s">
        <v>572</v>
      </c>
      <c r="H34" s="1484"/>
      <c r="I34" s="1484"/>
      <c r="J34" s="1484"/>
      <c r="K34" s="1486"/>
    </row>
    <row r="35" spans="2:11" ht="42" customHeight="1">
      <c r="B35" s="633" t="s">
        <v>7</v>
      </c>
      <c r="C35" s="634">
        <f>C34*1000/C38</f>
        <v>0.33517619199178883</v>
      </c>
      <c r="D35" s="634">
        <f>D34*1000/C39</f>
        <v>0.22816461416257497</v>
      </c>
      <c r="E35" s="634">
        <f t="shared" si="7"/>
        <v>-0.10701157782921386</v>
      </c>
      <c r="F35" s="635">
        <f t="shared" si="8"/>
        <v>-0.31926962709760554</v>
      </c>
      <c r="G35" s="1488" t="s">
        <v>573</v>
      </c>
      <c r="H35" s="1489"/>
      <c r="I35" s="1489"/>
      <c r="J35" s="1489"/>
      <c r="K35" s="1490"/>
    </row>
    <row r="36" spans="2:11" ht="14.25" customHeight="1">
      <c r="B36" s="450"/>
      <c r="C36" s="450"/>
      <c r="D36" s="450"/>
      <c r="E36" s="450"/>
      <c r="F36" s="450"/>
      <c r="G36" s="620"/>
    </row>
    <row r="37" spans="2:11" ht="14.25" customHeight="1">
      <c r="B37" s="1449" t="s">
        <v>227</v>
      </c>
      <c r="C37" s="1393"/>
      <c r="D37" s="636"/>
      <c r="E37" s="591"/>
      <c r="F37" s="431"/>
      <c r="G37" s="432"/>
    </row>
    <row r="38" spans="2:11" ht="14.25" customHeight="1">
      <c r="B38" s="426">
        <v>2021</v>
      </c>
      <c r="C38" s="427">
        <v>32943152</v>
      </c>
      <c r="D38" s="591"/>
      <c r="E38" s="591"/>
      <c r="F38" s="431"/>
      <c r="G38" s="432"/>
    </row>
    <row r="39" spans="2:11" ht="14.25" customHeight="1">
      <c r="B39" s="426">
        <v>2022</v>
      </c>
      <c r="C39" s="427">
        <v>19105834</v>
      </c>
      <c r="D39" s="591"/>
      <c r="E39" s="591"/>
      <c r="F39" s="431"/>
      <c r="G39" s="432"/>
    </row>
    <row r="40" spans="2:11" ht="14.25" customHeight="1">
      <c r="B40" s="431"/>
      <c r="C40" s="431"/>
      <c r="D40" s="591"/>
      <c r="E40" s="592"/>
      <c r="F40" s="1491" t="s">
        <v>574</v>
      </c>
      <c r="G40" s="1460"/>
      <c r="H40" s="1460"/>
      <c r="I40" s="431"/>
      <c r="J40" s="431"/>
      <c r="K40" s="431"/>
    </row>
    <row r="41" spans="2:11" ht="14.25" customHeight="1">
      <c r="B41" s="431"/>
      <c r="C41" s="431"/>
      <c r="D41" s="591"/>
      <c r="E41" s="637" t="s">
        <v>575</v>
      </c>
      <c r="F41" s="638">
        <v>10000894</v>
      </c>
      <c r="G41" s="639">
        <f>(F41-C31)/C31</f>
        <v>-0.28037174974775686</v>
      </c>
      <c r="H41" s="640"/>
      <c r="I41" s="431"/>
      <c r="J41" s="431"/>
      <c r="K41" s="431"/>
    </row>
    <row r="42" spans="2:11" ht="14.25" customHeight="1">
      <c r="B42" s="641" t="s">
        <v>576</v>
      </c>
      <c r="C42" s="444"/>
      <c r="D42" s="622"/>
      <c r="E42" s="637" t="s">
        <v>577</v>
      </c>
      <c r="F42" s="642">
        <v>9673</v>
      </c>
      <c r="G42" s="643">
        <f t="shared" ref="G42:G43" si="9">(F42-C34)/C34</f>
        <v>-0.12396214098744068</v>
      </c>
      <c r="I42" s="431"/>
      <c r="J42" s="431"/>
      <c r="K42" s="431"/>
    </row>
    <row r="43" spans="2:11" ht="14.25" customHeight="1">
      <c r="B43" s="457" t="s">
        <v>434</v>
      </c>
      <c r="C43" s="457" t="s">
        <v>578</v>
      </c>
      <c r="D43" s="426" t="s">
        <v>579</v>
      </c>
      <c r="E43" s="644" t="s">
        <v>7</v>
      </c>
      <c r="F43" s="645">
        <f>F42/C39*1000</f>
        <v>0.5062851482955415</v>
      </c>
      <c r="G43" s="643">
        <f t="shared" si="9"/>
        <v>0.51050450596426766</v>
      </c>
      <c r="I43" s="431"/>
      <c r="J43" s="431"/>
      <c r="K43" s="431"/>
    </row>
    <row r="44" spans="2:11" ht="14.25" customHeight="1">
      <c r="B44" s="457" t="s">
        <v>439</v>
      </c>
      <c r="C44" s="646">
        <v>2.7401610000000001</v>
      </c>
      <c r="D44" s="647">
        <v>0.13427999999999998</v>
      </c>
      <c r="E44" s="648"/>
      <c r="I44" s="431"/>
      <c r="J44" s="431"/>
      <c r="K44" s="431"/>
    </row>
    <row r="45" spans="2:11" ht="14.25" customHeight="1">
      <c r="B45" s="450"/>
      <c r="C45" s="450"/>
      <c r="D45" s="619"/>
      <c r="E45" s="592"/>
      <c r="F45" s="466">
        <f>F42-C34</f>
        <v>-1368.7602395666818</v>
      </c>
      <c r="G45" s="431"/>
      <c r="H45" s="432"/>
      <c r="I45" s="431"/>
      <c r="J45" s="431"/>
      <c r="K45" s="431"/>
    </row>
  </sheetData>
  <mergeCells count="12">
    <mergeCell ref="G30:K30"/>
    <mergeCell ref="G31:K31"/>
    <mergeCell ref="B3:I4"/>
    <mergeCell ref="B8:I8"/>
    <mergeCell ref="O14:R14"/>
    <mergeCell ref="B16:I16"/>
    <mergeCell ref="B29:J29"/>
    <mergeCell ref="G32:K32"/>
    <mergeCell ref="G34:K34"/>
    <mergeCell ref="G35:K35"/>
    <mergeCell ref="B37:C37"/>
    <mergeCell ref="F40:H40"/>
  </mergeCells>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FF"/>
  </sheetPr>
  <dimension ref="A1:X221"/>
  <sheetViews>
    <sheetView showGridLines="0" workbookViewId="0">
      <selection sqref="A1:B1"/>
    </sheetView>
  </sheetViews>
  <sheetFormatPr baseColWidth="10" defaultColWidth="12.6640625" defaultRowHeight="15" customHeight="1"/>
  <cols>
    <col min="1" max="1" width="26.33203125" customWidth="1"/>
    <col min="2" max="6" width="16.6640625" customWidth="1"/>
    <col min="7" max="7" width="34.6640625" customWidth="1"/>
    <col min="8" max="11" width="16.6640625" customWidth="1"/>
    <col min="12" max="12" width="20.109375" customWidth="1"/>
    <col min="13" max="13" width="25.109375" customWidth="1"/>
    <col min="14" max="15" width="16.6640625" customWidth="1"/>
    <col min="16" max="16" width="15.88671875" customWidth="1"/>
    <col min="17" max="17" width="16.6640625" customWidth="1"/>
    <col min="18" max="18" width="16.21875" customWidth="1"/>
    <col min="19" max="19" width="16.6640625" customWidth="1"/>
    <col min="20" max="20" width="20.21875" customWidth="1"/>
    <col min="21" max="21" width="13.77734375" customWidth="1"/>
    <col min="22" max="22" width="11.21875" customWidth="1"/>
    <col min="23" max="23" width="8.6640625" customWidth="1"/>
    <col min="24" max="25" width="14.109375" customWidth="1"/>
  </cols>
  <sheetData>
    <row r="1" spans="1:21" ht="14.25" customHeight="1">
      <c r="A1" s="1497" t="s">
        <v>580</v>
      </c>
      <c r="B1" s="1464"/>
      <c r="C1" s="429"/>
      <c r="D1" s="650"/>
      <c r="E1" s="429"/>
      <c r="F1" s="429"/>
      <c r="G1" s="651"/>
      <c r="H1" s="429"/>
      <c r="I1" s="429"/>
      <c r="J1" s="429"/>
      <c r="K1" s="429"/>
      <c r="L1" s="429"/>
      <c r="M1" s="589"/>
      <c r="N1" s="429"/>
      <c r="O1" s="429"/>
      <c r="P1" s="429"/>
      <c r="Q1" s="429"/>
      <c r="R1" s="429"/>
      <c r="S1" s="429"/>
      <c r="T1" s="429"/>
      <c r="U1" s="429"/>
    </row>
    <row r="2" spans="1:21" ht="14.25" customHeight="1">
      <c r="A2" s="591"/>
      <c r="B2" s="431"/>
      <c r="C2" s="431"/>
      <c r="D2" s="653"/>
      <c r="E2" s="431"/>
      <c r="F2" s="431"/>
      <c r="G2" s="466"/>
      <c r="H2" s="431"/>
      <c r="I2" s="431"/>
      <c r="J2" s="431"/>
      <c r="K2" s="431"/>
      <c r="L2" s="431"/>
      <c r="M2" s="591"/>
      <c r="N2" s="431"/>
      <c r="O2" s="431"/>
      <c r="P2" s="431"/>
      <c r="Q2" s="431"/>
      <c r="R2" s="431"/>
      <c r="S2" s="431"/>
      <c r="T2" s="431"/>
      <c r="U2" s="431"/>
    </row>
    <row r="3" spans="1:21" ht="14.25" customHeight="1">
      <c r="A3" s="591"/>
      <c r="B3" s="1450" t="s">
        <v>581</v>
      </c>
      <c r="C3" s="1451"/>
      <c r="D3" s="1451"/>
      <c r="E3" s="1451"/>
      <c r="F3" s="1451"/>
      <c r="G3" s="1452"/>
      <c r="H3" s="431"/>
      <c r="I3" s="431"/>
      <c r="J3" s="431"/>
      <c r="K3" s="431"/>
      <c r="L3" s="431"/>
      <c r="M3" s="591"/>
      <c r="N3" s="431"/>
      <c r="O3" s="431"/>
      <c r="P3" s="431"/>
      <c r="Q3" s="431"/>
      <c r="R3" s="431"/>
      <c r="S3" s="431"/>
      <c r="T3" s="431"/>
      <c r="U3" s="431"/>
    </row>
    <row r="4" spans="1:21" ht="15" customHeight="1">
      <c r="A4" s="591"/>
      <c r="B4" s="1471"/>
      <c r="C4" s="1396"/>
      <c r="D4" s="1396"/>
      <c r="E4" s="1396"/>
      <c r="F4" s="1396"/>
      <c r="G4" s="1472"/>
      <c r="H4" s="431"/>
      <c r="I4" s="431"/>
      <c r="J4" s="431"/>
      <c r="K4" s="431"/>
      <c r="L4" s="431"/>
      <c r="M4" s="591"/>
      <c r="N4" s="431"/>
      <c r="O4" s="431"/>
      <c r="P4" s="431"/>
      <c r="Q4" s="431"/>
      <c r="R4" s="431"/>
      <c r="S4" s="431"/>
      <c r="T4" s="431"/>
      <c r="U4" s="431"/>
    </row>
    <row r="5" spans="1:21" ht="84" customHeight="1">
      <c r="A5" s="591"/>
      <c r="B5" s="1453"/>
      <c r="C5" s="1454"/>
      <c r="D5" s="1454"/>
      <c r="E5" s="1454"/>
      <c r="F5" s="1454"/>
      <c r="G5" s="1455"/>
      <c r="H5" s="431"/>
      <c r="I5" s="431"/>
      <c r="J5" s="431"/>
      <c r="K5" s="431"/>
      <c r="L5" s="431"/>
      <c r="M5" s="591"/>
      <c r="N5" s="431"/>
      <c r="O5" s="431"/>
      <c r="P5" s="431"/>
      <c r="Q5" s="431"/>
      <c r="R5" s="431"/>
      <c r="S5" s="431"/>
      <c r="T5" s="431"/>
      <c r="U5" s="431"/>
    </row>
    <row r="6" spans="1:21" ht="19.5" customHeight="1">
      <c r="A6" s="594"/>
      <c r="B6" s="435"/>
      <c r="C6" s="435"/>
      <c r="D6" s="655"/>
      <c r="E6" s="435"/>
      <c r="F6" s="431"/>
      <c r="G6" s="466"/>
      <c r="H6" s="431"/>
      <c r="I6" s="656"/>
      <c r="J6" s="431"/>
      <c r="K6" s="431"/>
      <c r="L6" s="431"/>
      <c r="M6" s="591"/>
      <c r="N6" s="431"/>
      <c r="O6" s="431"/>
      <c r="P6" s="431"/>
      <c r="Q6" s="431"/>
      <c r="R6" s="431"/>
      <c r="S6" s="431"/>
      <c r="T6" s="431"/>
      <c r="U6" s="431"/>
    </row>
    <row r="7" spans="1:21" ht="19.5" customHeight="1">
      <c r="A7" s="657"/>
      <c r="B7" s="438" t="s">
        <v>426</v>
      </c>
      <c r="C7" s="535" t="s">
        <v>582</v>
      </c>
      <c r="D7" s="658"/>
      <c r="E7" s="440"/>
      <c r="F7" s="536"/>
      <c r="G7" s="659"/>
      <c r="H7" s="431"/>
      <c r="I7" s="431"/>
      <c r="J7" s="431"/>
      <c r="K7" s="431"/>
      <c r="L7" s="431"/>
      <c r="M7" s="591"/>
      <c r="N7" s="431"/>
      <c r="O7" s="431"/>
      <c r="P7" s="431"/>
      <c r="Q7" s="431"/>
      <c r="R7" s="431"/>
      <c r="S7" s="431"/>
      <c r="T7" s="431"/>
      <c r="U7" s="431"/>
    </row>
    <row r="8" spans="1:21" ht="19.5" customHeight="1">
      <c r="A8" s="657"/>
      <c r="B8" s="438" t="s">
        <v>583</v>
      </c>
      <c r="C8" s="439" t="s">
        <v>584</v>
      </c>
      <c r="D8" s="658"/>
      <c r="E8" s="440"/>
      <c r="F8" s="536"/>
      <c r="G8" s="659"/>
      <c r="H8" s="431"/>
      <c r="I8" s="660"/>
      <c r="J8" s="431"/>
      <c r="K8" s="431"/>
      <c r="L8" s="431"/>
      <c r="M8" s="591"/>
      <c r="N8" s="431"/>
      <c r="O8" s="431"/>
      <c r="P8" s="431"/>
      <c r="Q8" s="431"/>
      <c r="R8" s="431"/>
      <c r="S8" s="431"/>
      <c r="T8" s="431"/>
      <c r="U8" s="431"/>
    </row>
    <row r="9" spans="1:21" ht="19.5" customHeight="1">
      <c r="A9" s="657"/>
      <c r="B9" s="438"/>
      <c r="C9" s="439" t="s">
        <v>585</v>
      </c>
      <c r="D9" s="658"/>
      <c r="E9" s="440"/>
      <c r="F9" s="536"/>
      <c r="G9" s="659"/>
      <c r="H9" s="431"/>
      <c r="I9" s="661"/>
      <c r="J9" s="431"/>
      <c r="K9" s="431"/>
      <c r="L9" s="431"/>
      <c r="M9" s="591"/>
      <c r="N9" s="431"/>
      <c r="O9" s="431"/>
      <c r="P9" s="431"/>
      <c r="Q9" s="431"/>
      <c r="R9" s="431"/>
      <c r="S9" s="431"/>
      <c r="T9" s="431"/>
      <c r="U9" s="431"/>
    </row>
    <row r="10" spans="1:21" ht="19.5" customHeight="1">
      <c r="A10" s="657"/>
      <c r="B10" s="438"/>
      <c r="C10" s="439" t="s">
        <v>586</v>
      </c>
      <c r="D10" s="658"/>
      <c r="E10" s="440"/>
      <c r="F10" s="536"/>
      <c r="G10" s="659"/>
      <c r="H10" s="431"/>
      <c r="I10" s="431"/>
      <c r="J10" s="431"/>
      <c r="K10" s="431"/>
      <c r="L10" s="431"/>
      <c r="M10" s="591"/>
      <c r="N10" s="431"/>
      <c r="O10" s="431"/>
      <c r="P10" s="431"/>
      <c r="Q10" s="431"/>
      <c r="R10" s="431"/>
      <c r="S10" s="431"/>
      <c r="T10" s="431"/>
      <c r="U10" s="431"/>
    </row>
    <row r="11" spans="1:21" ht="15" customHeight="1">
      <c r="A11" s="662"/>
      <c r="B11" s="663"/>
      <c r="C11" s="663"/>
      <c r="D11" s="664"/>
      <c r="G11" s="642"/>
      <c r="H11" s="665"/>
      <c r="I11" s="431"/>
      <c r="J11" s="431"/>
      <c r="K11" s="431"/>
      <c r="L11" s="431"/>
      <c r="M11" s="591"/>
      <c r="N11" s="431"/>
      <c r="O11" s="431"/>
      <c r="P11" s="431"/>
      <c r="Q11" s="431"/>
      <c r="R11" s="431"/>
      <c r="S11" s="431"/>
      <c r="T11" s="431"/>
      <c r="U11" s="431"/>
    </row>
    <row r="12" spans="1:21" ht="14.25" customHeight="1">
      <c r="A12" s="434"/>
      <c r="B12" s="434"/>
      <c r="C12" s="434"/>
      <c r="D12" s="434"/>
      <c r="E12" s="434"/>
      <c r="F12" s="434"/>
      <c r="G12" s="434"/>
      <c r="H12" s="434"/>
      <c r="I12" s="444"/>
      <c r="J12" s="666"/>
      <c r="K12" s="444"/>
      <c r="L12" s="431"/>
      <c r="M12" s="591"/>
      <c r="N12" s="431"/>
      <c r="O12" s="431"/>
      <c r="P12" s="431"/>
      <c r="Q12" s="431"/>
      <c r="R12" s="431"/>
      <c r="S12" s="431"/>
      <c r="T12" s="431"/>
      <c r="U12" s="431"/>
    </row>
    <row r="13" spans="1:21" ht="14.25" customHeight="1">
      <c r="A13" s="444"/>
      <c r="B13" s="444"/>
      <c r="C13" s="444"/>
      <c r="D13" s="444"/>
      <c r="E13" s="444"/>
      <c r="F13" s="444"/>
      <c r="G13" s="444"/>
      <c r="H13" s="444"/>
      <c r="I13" s="444"/>
      <c r="J13" s="666"/>
      <c r="K13" s="444"/>
      <c r="L13" s="431"/>
      <c r="M13" s="591"/>
      <c r="N13" s="431"/>
      <c r="O13" s="431"/>
      <c r="P13" s="444"/>
      <c r="Q13" s="444"/>
      <c r="R13" s="444"/>
      <c r="S13" s="444"/>
      <c r="T13" s="444"/>
      <c r="U13" s="431"/>
    </row>
    <row r="14" spans="1:21" ht="14.25" customHeight="1">
      <c r="A14" s="1498" t="s">
        <v>587</v>
      </c>
      <c r="B14" s="1415"/>
      <c r="C14" s="1415"/>
      <c r="D14" s="1415"/>
      <c r="E14" s="1416"/>
      <c r="G14" s="1499" t="s">
        <v>588</v>
      </c>
      <c r="H14" s="1463"/>
      <c r="I14" s="1463"/>
      <c r="J14" s="1463"/>
      <c r="K14" s="1464"/>
      <c r="M14" s="1500" t="s">
        <v>589</v>
      </c>
      <c r="N14" s="1415"/>
      <c r="O14" s="1415"/>
      <c r="P14" s="1415"/>
      <c r="Q14" s="1416"/>
      <c r="R14" s="1501" t="s">
        <v>590</v>
      </c>
      <c r="S14" s="1416"/>
      <c r="T14" s="1501" t="s">
        <v>591</v>
      </c>
      <c r="U14" s="1416"/>
    </row>
    <row r="15" spans="1:21" ht="14.25" customHeight="1">
      <c r="A15" s="667" t="s">
        <v>592</v>
      </c>
      <c r="B15" s="667" t="s">
        <v>593</v>
      </c>
      <c r="C15" s="668" t="s">
        <v>437</v>
      </c>
      <c r="D15" s="668" t="s">
        <v>48</v>
      </c>
      <c r="E15" s="668" t="s">
        <v>594</v>
      </c>
      <c r="G15" s="669" t="s">
        <v>592</v>
      </c>
      <c r="H15" s="669" t="s">
        <v>595</v>
      </c>
      <c r="I15" s="670" t="s">
        <v>437</v>
      </c>
      <c r="J15" s="670" t="s">
        <v>48</v>
      </c>
      <c r="K15" s="670" t="s">
        <v>594</v>
      </c>
      <c r="M15" s="667" t="s">
        <v>592</v>
      </c>
      <c r="N15" s="667" t="s">
        <v>593</v>
      </c>
      <c r="O15" s="668" t="s">
        <v>437</v>
      </c>
      <c r="P15" s="668" t="s">
        <v>48</v>
      </c>
      <c r="Q15" s="668" t="s">
        <v>594</v>
      </c>
      <c r="R15" s="668" t="s">
        <v>469</v>
      </c>
      <c r="S15" s="668" t="s">
        <v>596</v>
      </c>
      <c r="T15" s="668" t="s">
        <v>469</v>
      </c>
      <c r="U15" s="668" t="s">
        <v>596</v>
      </c>
    </row>
    <row r="16" spans="1:21" ht="14.25" customHeight="1">
      <c r="A16" s="671" t="s">
        <v>597</v>
      </c>
      <c r="B16" s="672">
        <f t="shared" ref="B16:B33" si="0">+SUMIF($L$93:$L$167,$A16,$M$93:$M$167)</f>
        <v>113416853</v>
      </c>
      <c r="C16" s="673">
        <f t="shared" ref="C16:C33" si="1">+SUMIF($L$93:$L$167,$A16,$O$93:$O$167)</f>
        <v>75.36999999999999</v>
      </c>
      <c r="D16" s="674" t="s">
        <v>598</v>
      </c>
      <c r="E16" s="675">
        <f t="shared" ref="E16:E33" si="2">B16/$B$34</f>
        <v>7.1174503606978839E-3</v>
      </c>
      <c r="G16" s="671" t="s">
        <v>597</v>
      </c>
      <c r="H16" s="672">
        <v>109964105</v>
      </c>
      <c r="I16" s="673">
        <v>72.163109500000004</v>
      </c>
      <c r="J16" s="674" t="s">
        <v>598</v>
      </c>
      <c r="K16" s="675">
        <f t="shared" ref="K16:K34" si="3">H16/$H$35</f>
        <v>6.7458168760138899E-3</v>
      </c>
      <c r="M16" s="671" t="s">
        <v>597</v>
      </c>
      <c r="N16" s="672">
        <f t="shared" ref="N16:N33" si="4">+SUMIF($D$93:$D$167,$M16,$E$93:$E$167)</f>
        <v>116009037</v>
      </c>
      <c r="O16" s="673">
        <f t="shared" ref="O16:O33" si="5">+SUMIF($D$93:$D$167,$M16,$G$93:$G$167)</f>
        <v>66.540674759968454</v>
      </c>
      <c r="P16" s="674" t="s">
        <v>598</v>
      </c>
      <c r="Q16" s="675">
        <f t="shared" ref="Q16:Q33" si="6">N16/$N$35</f>
        <v>7.7452250779402277E-3</v>
      </c>
      <c r="R16" s="676">
        <f>O16-I16</f>
        <v>-5.6224347400315509</v>
      </c>
      <c r="S16" s="675">
        <f t="shared" ref="S16:S33" si="7">R16/I16</f>
        <v>-7.7912866823339297E-2</v>
      </c>
      <c r="T16" s="676">
        <f>N16-H16</f>
        <v>6044932</v>
      </c>
      <c r="U16" s="677"/>
    </row>
    <row r="17" spans="1:21" ht="14.25" customHeight="1">
      <c r="A17" s="671" t="s">
        <v>599</v>
      </c>
      <c r="B17" s="672">
        <f t="shared" si="0"/>
        <v>511190660</v>
      </c>
      <c r="C17" s="673">
        <f t="shared" si="1"/>
        <v>235.44</v>
      </c>
      <c r="D17" s="674" t="s">
        <v>598</v>
      </c>
      <c r="E17" s="675">
        <f t="shared" si="2"/>
        <v>3.2079660572158435E-2</v>
      </c>
      <c r="G17" s="671" t="s">
        <v>600</v>
      </c>
      <c r="H17" s="672">
        <v>178647274</v>
      </c>
      <c r="I17" s="673">
        <v>1136.4643100000001</v>
      </c>
      <c r="J17" s="674" t="s">
        <v>598</v>
      </c>
      <c r="K17" s="675">
        <f t="shared" si="3"/>
        <v>1.095922888476269E-2</v>
      </c>
      <c r="M17" s="671" t="s">
        <v>599</v>
      </c>
      <c r="N17" s="672">
        <f t="shared" si="4"/>
        <v>383015502</v>
      </c>
      <c r="O17" s="673">
        <f t="shared" si="5"/>
        <v>152.03835622977041</v>
      </c>
      <c r="P17" s="674" t="s">
        <v>598</v>
      </c>
      <c r="Q17" s="675">
        <f t="shared" si="6"/>
        <v>2.5571639486415745E-2</v>
      </c>
      <c r="R17" s="678"/>
      <c r="S17" s="675">
        <f t="shared" si="7"/>
        <v>0</v>
      </c>
      <c r="T17" s="678"/>
      <c r="U17" s="677"/>
    </row>
    <row r="18" spans="1:21" ht="14.25" customHeight="1">
      <c r="A18" s="671" t="s">
        <v>601</v>
      </c>
      <c r="B18" s="672">
        <f t="shared" si="0"/>
        <v>199760973</v>
      </c>
      <c r="C18" s="673">
        <f t="shared" si="1"/>
        <v>62.06</v>
      </c>
      <c r="D18" s="674" t="s">
        <v>598</v>
      </c>
      <c r="E18" s="675">
        <f t="shared" si="2"/>
        <v>1.2535957150320598E-2</v>
      </c>
      <c r="G18" s="671" t="s">
        <v>602</v>
      </c>
      <c r="H18" s="672">
        <v>35036025</v>
      </c>
      <c r="I18" s="673">
        <v>6</v>
      </c>
      <c r="J18" s="674" t="s">
        <v>598</v>
      </c>
      <c r="K18" s="675">
        <f t="shared" si="3"/>
        <v>2.1493068916756475E-3</v>
      </c>
      <c r="M18" s="671" t="s">
        <v>601</v>
      </c>
      <c r="N18" s="672">
        <f t="shared" si="4"/>
        <v>109318192</v>
      </c>
      <c r="O18" s="673">
        <f t="shared" si="5"/>
        <v>29.742609019571823</v>
      </c>
      <c r="P18" s="674" t="s">
        <v>598</v>
      </c>
      <c r="Q18" s="675">
        <f t="shared" si="6"/>
        <v>7.2985176331864972E-3</v>
      </c>
      <c r="R18" s="676">
        <f>O18-I19</f>
        <v>-44.257390980428177</v>
      </c>
      <c r="S18" s="675">
        <f t="shared" si="7"/>
        <v>-7.3762318300713625</v>
      </c>
      <c r="T18" s="676">
        <f>N18-H19</f>
        <v>-119569735</v>
      </c>
      <c r="U18" s="677"/>
    </row>
    <row r="19" spans="1:21" ht="14.25" customHeight="1">
      <c r="A19" s="671" t="s">
        <v>603</v>
      </c>
      <c r="B19" s="672">
        <f t="shared" si="0"/>
        <v>1779663442</v>
      </c>
      <c r="C19" s="673">
        <f t="shared" si="1"/>
        <v>559.34</v>
      </c>
      <c r="D19" s="674" t="s">
        <v>598</v>
      </c>
      <c r="E19" s="675">
        <f t="shared" si="2"/>
        <v>0.11168239879820804</v>
      </c>
      <c r="G19" s="671" t="s">
        <v>601</v>
      </c>
      <c r="H19" s="672">
        <v>228887927</v>
      </c>
      <c r="I19" s="673">
        <v>74</v>
      </c>
      <c r="J19" s="674" t="s">
        <v>598</v>
      </c>
      <c r="K19" s="675">
        <f t="shared" si="3"/>
        <v>1.4041273201581873E-2</v>
      </c>
      <c r="M19" s="671" t="s">
        <v>603</v>
      </c>
      <c r="N19" s="672">
        <f t="shared" si="4"/>
        <v>1814125681</v>
      </c>
      <c r="O19" s="673">
        <f t="shared" si="5"/>
        <v>481.85328192575872</v>
      </c>
      <c r="P19" s="674" t="s">
        <v>598</v>
      </c>
      <c r="Q19" s="675">
        <f t="shared" si="6"/>
        <v>0.12111825149463652</v>
      </c>
      <c r="R19" s="676">
        <f t="shared" ref="R19:R21" si="8">O19-I21</f>
        <v>-58.146718074241278</v>
      </c>
      <c r="S19" s="675">
        <f t="shared" si="7"/>
        <v>-0.78576646046271992</v>
      </c>
      <c r="T19" s="676">
        <f t="shared" ref="T19:T21" si="9">N19-H21</f>
        <v>43653098</v>
      </c>
      <c r="U19" s="677"/>
    </row>
    <row r="20" spans="1:21" ht="14.25" customHeight="1">
      <c r="A20" s="671" t="s">
        <v>604</v>
      </c>
      <c r="B20" s="672">
        <f t="shared" si="0"/>
        <v>2069832179</v>
      </c>
      <c r="C20" s="673">
        <f t="shared" si="1"/>
        <v>565.17999999999995</v>
      </c>
      <c r="D20" s="674" t="s">
        <v>598</v>
      </c>
      <c r="E20" s="675">
        <f t="shared" si="2"/>
        <v>0.12989187584853581</v>
      </c>
      <c r="G20" s="671" t="s">
        <v>605</v>
      </c>
      <c r="H20" s="672">
        <v>17018447</v>
      </c>
      <c r="I20" s="673">
        <v>3</v>
      </c>
      <c r="J20" s="674" t="s">
        <v>598</v>
      </c>
      <c r="K20" s="675">
        <f t="shared" si="3"/>
        <v>1.0440072874339126E-3</v>
      </c>
      <c r="M20" s="671" t="s">
        <v>604</v>
      </c>
      <c r="N20" s="672">
        <f t="shared" si="4"/>
        <v>2769155553</v>
      </c>
      <c r="O20" s="673">
        <f t="shared" si="5"/>
        <v>644.25548094877638</v>
      </c>
      <c r="P20" s="674" t="s">
        <v>598</v>
      </c>
      <c r="Q20" s="675">
        <f t="shared" si="6"/>
        <v>0.18487984719512013</v>
      </c>
      <c r="R20" s="676">
        <f t="shared" si="8"/>
        <v>249.25548094877638</v>
      </c>
      <c r="S20" s="675">
        <f t="shared" si="7"/>
        <v>83.085160316258794</v>
      </c>
      <c r="T20" s="676">
        <f t="shared" si="9"/>
        <v>1319958465</v>
      </c>
      <c r="U20" s="677"/>
    </row>
    <row r="21" spans="1:21" ht="14.25" customHeight="1">
      <c r="A21" s="671" t="s">
        <v>606</v>
      </c>
      <c r="B21" s="672">
        <f t="shared" si="0"/>
        <v>1573466544</v>
      </c>
      <c r="C21" s="673">
        <f t="shared" si="1"/>
        <v>504.47</v>
      </c>
      <c r="D21" s="674" t="s">
        <v>598</v>
      </c>
      <c r="E21" s="675">
        <f t="shared" si="2"/>
        <v>9.8742556550558261E-2</v>
      </c>
      <c r="G21" s="671" t="s">
        <v>603</v>
      </c>
      <c r="H21" s="672">
        <v>1770472583</v>
      </c>
      <c r="I21" s="673">
        <v>540</v>
      </c>
      <c r="J21" s="674" t="s">
        <v>598</v>
      </c>
      <c r="K21" s="675">
        <f t="shared" si="3"/>
        <v>0.10861074919785235</v>
      </c>
      <c r="M21" s="671" t="s">
        <v>606</v>
      </c>
      <c r="N21" s="672">
        <f t="shared" si="4"/>
        <v>977833304</v>
      </c>
      <c r="O21" s="673">
        <f t="shared" si="5"/>
        <v>269.63573244043863</v>
      </c>
      <c r="P21" s="674" t="s">
        <v>598</v>
      </c>
      <c r="Q21" s="675">
        <f t="shared" si="6"/>
        <v>6.5284043588655513E-2</v>
      </c>
      <c r="R21" s="676">
        <f t="shared" si="8"/>
        <v>-190.36426755956137</v>
      </c>
      <c r="S21" s="675">
        <f t="shared" si="7"/>
        <v>-0.35252642140659513</v>
      </c>
      <c r="T21" s="679">
        <f t="shared" si="9"/>
        <v>-461161482</v>
      </c>
      <c r="U21" s="677"/>
    </row>
    <row r="22" spans="1:21" ht="14.25" customHeight="1">
      <c r="A22" s="671" t="s">
        <v>607</v>
      </c>
      <c r="B22" s="672">
        <f t="shared" si="0"/>
        <v>358274307</v>
      </c>
      <c r="C22" s="673">
        <f t="shared" si="1"/>
        <v>63.87</v>
      </c>
      <c r="D22" s="674" t="s">
        <v>598</v>
      </c>
      <c r="E22" s="675">
        <f t="shared" si="2"/>
        <v>2.248342753423016E-2</v>
      </c>
      <c r="G22" s="671" t="s">
        <v>608</v>
      </c>
      <c r="H22" s="672">
        <v>1449197088</v>
      </c>
      <c r="I22" s="673">
        <v>395</v>
      </c>
      <c r="J22" s="674" t="s">
        <v>598</v>
      </c>
      <c r="K22" s="675">
        <f t="shared" si="3"/>
        <v>8.8901902788192433E-2</v>
      </c>
      <c r="M22" s="671" t="s">
        <v>607</v>
      </c>
      <c r="N22" s="672">
        <f t="shared" si="4"/>
        <v>299398083</v>
      </c>
      <c r="O22" s="673">
        <f t="shared" si="5"/>
        <v>45.945910604920556</v>
      </c>
      <c r="P22" s="674" t="s">
        <v>598</v>
      </c>
      <c r="Q22" s="675">
        <f t="shared" si="6"/>
        <v>1.9989007759273356E-2</v>
      </c>
      <c r="R22" s="678"/>
      <c r="S22" s="675">
        <f t="shared" si="7"/>
        <v>0</v>
      </c>
      <c r="T22" s="678"/>
      <c r="U22" s="677"/>
    </row>
    <row r="23" spans="1:21" ht="14.25" customHeight="1">
      <c r="A23" s="671" t="s">
        <v>609</v>
      </c>
      <c r="B23" s="672">
        <f t="shared" si="0"/>
        <v>538421762</v>
      </c>
      <c r="C23" s="673">
        <f t="shared" si="1"/>
        <v>165.51999999999998</v>
      </c>
      <c r="D23" s="674" t="s">
        <v>598</v>
      </c>
      <c r="E23" s="675">
        <f t="shared" si="2"/>
        <v>3.3788542555968207E-2</v>
      </c>
      <c r="G23" s="671" t="s">
        <v>606</v>
      </c>
      <c r="H23" s="672">
        <v>1438994786</v>
      </c>
      <c r="I23" s="673">
        <v>460</v>
      </c>
      <c r="J23" s="674" t="s">
        <v>598</v>
      </c>
      <c r="K23" s="675">
        <f t="shared" si="3"/>
        <v>8.8276036183760107E-2</v>
      </c>
      <c r="M23" s="671" t="s">
        <v>609</v>
      </c>
      <c r="N23" s="672">
        <f t="shared" si="4"/>
        <v>747797840</v>
      </c>
      <c r="O23" s="673">
        <f t="shared" si="5"/>
        <v>199.89936859239683</v>
      </c>
      <c r="P23" s="674" t="s">
        <v>598</v>
      </c>
      <c r="Q23" s="675">
        <f t="shared" si="6"/>
        <v>4.9925960368049034E-2</v>
      </c>
      <c r="R23" s="676">
        <f t="shared" ref="R23:R25" si="10">O23-I24</f>
        <v>-160.10063140760317</v>
      </c>
      <c r="S23" s="675">
        <f t="shared" si="7"/>
        <v>-0.34804485088609388</v>
      </c>
      <c r="T23" s="679">
        <f t="shared" ref="T23:T25" si="11">N23-H24</f>
        <v>-409673845</v>
      </c>
      <c r="U23" s="677"/>
    </row>
    <row r="24" spans="1:21" ht="14.25" customHeight="1">
      <c r="A24" s="671" t="s">
        <v>610</v>
      </c>
      <c r="B24" s="672">
        <f t="shared" si="0"/>
        <v>1299062898</v>
      </c>
      <c r="C24" s="673">
        <f t="shared" si="1"/>
        <v>421.76000000000005</v>
      </c>
      <c r="D24" s="674" t="s">
        <v>598</v>
      </c>
      <c r="E24" s="675">
        <f t="shared" si="2"/>
        <v>8.152241441524867E-2</v>
      </c>
      <c r="G24" s="671" t="s">
        <v>609</v>
      </c>
      <c r="H24" s="672">
        <v>1157471685</v>
      </c>
      <c r="I24" s="673">
        <v>360</v>
      </c>
      <c r="J24" s="674" t="s">
        <v>598</v>
      </c>
      <c r="K24" s="675">
        <f t="shared" si="3"/>
        <v>7.1005825275268081E-2</v>
      </c>
      <c r="M24" s="671" t="s">
        <v>610</v>
      </c>
      <c r="N24" s="672">
        <f t="shared" si="4"/>
        <v>1274735466</v>
      </c>
      <c r="O24" s="673">
        <f t="shared" si="5"/>
        <v>391.42414302678111</v>
      </c>
      <c r="P24" s="674" t="s">
        <v>598</v>
      </c>
      <c r="Q24" s="675">
        <f t="shared" si="6"/>
        <v>8.5106413727087674E-2</v>
      </c>
      <c r="R24" s="676">
        <f t="shared" si="10"/>
        <v>-5.5758569732188903</v>
      </c>
      <c r="S24" s="675">
        <f t="shared" si="7"/>
        <v>-1.5488491592274695E-2</v>
      </c>
      <c r="T24" s="676">
        <f t="shared" si="11"/>
        <v>32840043</v>
      </c>
      <c r="U24" s="677"/>
    </row>
    <row r="25" spans="1:21" ht="14.25" customHeight="1">
      <c r="A25" s="671" t="s">
        <v>611</v>
      </c>
      <c r="B25" s="672">
        <f t="shared" si="0"/>
        <v>9420476</v>
      </c>
      <c r="C25" s="673">
        <f t="shared" si="1"/>
        <v>2.91</v>
      </c>
      <c r="D25" s="674" t="s">
        <v>598</v>
      </c>
      <c r="E25" s="675">
        <f t="shared" si="2"/>
        <v>5.9117995721628567E-4</v>
      </c>
      <c r="G25" s="671" t="s">
        <v>610</v>
      </c>
      <c r="H25" s="672">
        <v>1241895423</v>
      </c>
      <c r="I25" s="673">
        <v>397</v>
      </c>
      <c r="J25" s="674" t="s">
        <v>598</v>
      </c>
      <c r="K25" s="675">
        <f t="shared" si="3"/>
        <v>7.6184852345388604E-2</v>
      </c>
      <c r="M25" s="671" t="s">
        <v>611</v>
      </c>
      <c r="N25" s="672">
        <f t="shared" si="4"/>
        <v>14224547</v>
      </c>
      <c r="O25" s="673">
        <f t="shared" si="5"/>
        <v>3.837442592195397</v>
      </c>
      <c r="P25" s="674" t="s">
        <v>598</v>
      </c>
      <c r="Q25" s="675">
        <f t="shared" si="6"/>
        <v>9.4968737777505576E-4</v>
      </c>
      <c r="R25" s="676">
        <f t="shared" si="10"/>
        <v>-65.162557407804599</v>
      </c>
      <c r="S25" s="675">
        <f t="shared" si="7"/>
        <v>-0.16413742420101915</v>
      </c>
      <c r="T25" s="676">
        <f t="shared" si="11"/>
        <v>-208032169</v>
      </c>
      <c r="U25" s="677"/>
    </row>
    <row r="26" spans="1:21" ht="14.25" customHeight="1">
      <c r="A26" s="671" t="s">
        <v>612</v>
      </c>
      <c r="B26" s="672">
        <f t="shared" si="0"/>
        <v>1397167076</v>
      </c>
      <c r="C26" s="673">
        <f t="shared" si="1"/>
        <v>330.45</v>
      </c>
      <c r="D26" s="674" t="s">
        <v>598</v>
      </c>
      <c r="E26" s="675">
        <f t="shared" si="2"/>
        <v>8.7678921130278656E-2</v>
      </c>
      <c r="G26" s="671" t="s">
        <v>611</v>
      </c>
      <c r="H26" s="672">
        <v>222256716</v>
      </c>
      <c r="I26" s="673">
        <v>69</v>
      </c>
      <c r="J26" s="674" t="s">
        <v>598</v>
      </c>
      <c r="K26" s="675">
        <f t="shared" si="3"/>
        <v>1.3634477410608E-2</v>
      </c>
      <c r="M26" s="671" t="s">
        <v>612</v>
      </c>
      <c r="N26" s="672">
        <f t="shared" si="4"/>
        <v>997344185</v>
      </c>
      <c r="O26" s="673">
        <f t="shared" si="5"/>
        <v>205.80781310802004</v>
      </c>
      <c r="P26" s="674" t="s">
        <v>598</v>
      </c>
      <c r="Q26" s="675">
        <f t="shared" si="6"/>
        <v>6.6586667666242744E-2</v>
      </c>
      <c r="R26" s="676">
        <f t="shared" ref="R26:R29" si="12">O26-I28</f>
        <v>-128.19218689197996</v>
      </c>
      <c r="S26" s="675">
        <f t="shared" si="7"/>
        <v>-1.8578577810431878</v>
      </c>
      <c r="T26" s="679">
        <f t="shared" ref="T26:T29" si="13">N26-H28</f>
        <v>-409104569</v>
      </c>
      <c r="U26" s="677"/>
    </row>
    <row r="27" spans="1:21" ht="14.25" customHeight="1">
      <c r="A27" s="671" t="s">
        <v>613</v>
      </c>
      <c r="B27" s="672">
        <f t="shared" si="0"/>
        <v>146881991</v>
      </c>
      <c r="C27" s="673">
        <f t="shared" si="1"/>
        <v>47.08</v>
      </c>
      <c r="D27" s="674" t="s">
        <v>598</v>
      </c>
      <c r="E27" s="675">
        <f t="shared" si="2"/>
        <v>9.2175479408071158E-3</v>
      </c>
      <c r="G27" s="671" t="s">
        <v>614</v>
      </c>
      <c r="H27" s="672">
        <v>113257845</v>
      </c>
      <c r="I27" s="673">
        <v>111.34691599999999</v>
      </c>
      <c r="J27" s="674" t="s">
        <v>598</v>
      </c>
      <c r="K27" s="675">
        <f t="shared" si="3"/>
        <v>6.9478734187120913E-3</v>
      </c>
      <c r="M27" s="671" t="s">
        <v>613</v>
      </c>
      <c r="N27" s="672">
        <f t="shared" si="4"/>
        <v>71884631</v>
      </c>
      <c r="O27" s="673">
        <f t="shared" si="5"/>
        <v>17.091269611069322</v>
      </c>
      <c r="P27" s="674" t="s">
        <v>598</v>
      </c>
      <c r="Q27" s="675">
        <f t="shared" si="6"/>
        <v>4.7993040985219067E-3</v>
      </c>
      <c r="R27" s="676">
        <f t="shared" si="12"/>
        <v>-28.908730388930678</v>
      </c>
      <c r="S27" s="675">
        <f t="shared" si="7"/>
        <v>-0.25962758042558343</v>
      </c>
      <c r="T27" s="676">
        <f t="shared" si="13"/>
        <v>-74397360</v>
      </c>
      <c r="U27" s="677"/>
    </row>
    <row r="28" spans="1:21" ht="14.25" customHeight="1">
      <c r="A28" s="671" t="s">
        <v>615</v>
      </c>
      <c r="B28" s="672">
        <f t="shared" si="0"/>
        <v>1256229424</v>
      </c>
      <c r="C28" s="673">
        <f t="shared" si="1"/>
        <v>571.90000000000009</v>
      </c>
      <c r="D28" s="674" t="s">
        <v>598</v>
      </c>
      <c r="E28" s="675">
        <f t="shared" si="2"/>
        <v>7.8834408912475243E-2</v>
      </c>
      <c r="G28" s="671" t="s">
        <v>612</v>
      </c>
      <c r="H28" s="672">
        <v>1406448754</v>
      </c>
      <c r="I28" s="673">
        <v>334</v>
      </c>
      <c r="J28" s="674" t="s">
        <v>598</v>
      </c>
      <c r="K28" s="675">
        <f t="shared" si="3"/>
        <v>8.6279479471795886E-2</v>
      </c>
      <c r="M28" s="671" t="s">
        <v>615</v>
      </c>
      <c r="N28" s="672">
        <f t="shared" si="4"/>
        <v>1148314294</v>
      </c>
      <c r="O28" s="673">
        <f t="shared" si="5"/>
        <v>447.95019954349686</v>
      </c>
      <c r="P28" s="674" t="s">
        <v>598</v>
      </c>
      <c r="Q28" s="675">
        <f t="shared" si="6"/>
        <v>7.6666033071596196E-2</v>
      </c>
      <c r="R28" s="676">
        <f t="shared" si="12"/>
        <v>-345.04980045650314</v>
      </c>
      <c r="S28" s="675">
        <f t="shared" si="7"/>
        <v>-1.0330832348997099</v>
      </c>
      <c r="T28" s="679">
        <f t="shared" si="13"/>
        <v>-589516343</v>
      </c>
      <c r="U28" s="677"/>
    </row>
    <row r="29" spans="1:21" ht="14.25" customHeight="1">
      <c r="A29" s="671" t="s">
        <v>616</v>
      </c>
      <c r="B29" s="672">
        <f t="shared" si="0"/>
        <v>2523179363</v>
      </c>
      <c r="C29" s="673">
        <f t="shared" si="1"/>
        <v>709.11</v>
      </c>
      <c r="D29" s="674" t="s">
        <v>598</v>
      </c>
      <c r="E29" s="675">
        <f t="shared" si="2"/>
        <v>0.15834158145165433</v>
      </c>
      <c r="G29" s="671" t="s">
        <v>613</v>
      </c>
      <c r="H29" s="672">
        <v>146281991</v>
      </c>
      <c r="I29" s="673">
        <v>46</v>
      </c>
      <c r="J29" s="674" t="s">
        <v>598</v>
      </c>
      <c r="K29" s="675">
        <f t="shared" si="3"/>
        <v>8.9737603333807144E-3</v>
      </c>
      <c r="M29" s="671" t="s">
        <v>616</v>
      </c>
      <c r="N29" s="672">
        <f t="shared" si="4"/>
        <v>2906489376</v>
      </c>
      <c r="O29" s="673">
        <f t="shared" si="5"/>
        <v>700.76156258695528</v>
      </c>
      <c r="P29" s="674" t="s">
        <v>598</v>
      </c>
      <c r="Q29" s="675">
        <f t="shared" si="6"/>
        <v>0.19404879986860027</v>
      </c>
      <c r="R29" s="676">
        <f t="shared" si="12"/>
        <v>-11.238437413044721</v>
      </c>
      <c r="S29" s="675">
        <f t="shared" si="7"/>
        <v>-0.24431385680532003</v>
      </c>
      <c r="T29" s="676">
        <f t="shared" si="13"/>
        <v>371732464</v>
      </c>
      <c r="U29" s="677"/>
    </row>
    <row r="30" spans="1:21" ht="14.25" customHeight="1">
      <c r="A30" s="671" t="s">
        <v>617</v>
      </c>
      <c r="B30" s="672">
        <f t="shared" si="0"/>
        <v>455146828</v>
      </c>
      <c r="C30" s="673">
        <f t="shared" si="1"/>
        <v>145.80000000000001</v>
      </c>
      <c r="D30" s="674" t="s">
        <v>598</v>
      </c>
      <c r="E30" s="675">
        <f t="shared" si="2"/>
        <v>2.856264187756204E-2</v>
      </c>
      <c r="G30" s="671" t="s">
        <v>615</v>
      </c>
      <c r="H30" s="672">
        <v>1737830637</v>
      </c>
      <c r="I30" s="673">
        <v>793</v>
      </c>
      <c r="J30" s="674" t="s">
        <v>598</v>
      </c>
      <c r="K30" s="675">
        <f t="shared" si="3"/>
        <v>0.10660830858150092</v>
      </c>
      <c r="M30" s="671" t="s">
        <v>617</v>
      </c>
      <c r="N30" s="672">
        <f t="shared" si="4"/>
        <v>258693810</v>
      </c>
      <c r="O30" s="673">
        <f t="shared" si="5"/>
        <v>69.158015692105309</v>
      </c>
      <c r="P30" s="674" t="s">
        <v>598</v>
      </c>
      <c r="Q30" s="675">
        <f t="shared" si="6"/>
        <v>1.7271428472593081E-2</v>
      </c>
      <c r="R30" s="678">
        <f>O30-I17</f>
        <v>-1067.3062943078949</v>
      </c>
      <c r="S30" s="675">
        <f t="shared" si="7"/>
        <v>-1.3459095766808258</v>
      </c>
      <c r="T30" s="678"/>
      <c r="U30" s="677"/>
    </row>
    <row r="31" spans="1:21" ht="14.25" customHeight="1">
      <c r="A31" s="671" t="s">
        <v>618</v>
      </c>
      <c r="B31" s="672">
        <f t="shared" si="0"/>
        <v>428370</v>
      </c>
      <c r="C31" s="673">
        <f t="shared" si="1"/>
        <v>0.21</v>
      </c>
      <c r="D31" s="674" t="s">
        <v>598</v>
      </c>
      <c r="E31" s="675">
        <f t="shared" si="2"/>
        <v>2.688226776149531E-5</v>
      </c>
      <c r="G31" s="671" t="s">
        <v>619</v>
      </c>
      <c r="H31" s="672">
        <v>2534756912</v>
      </c>
      <c r="I31" s="673">
        <v>712</v>
      </c>
      <c r="J31" s="674" t="s">
        <v>598</v>
      </c>
      <c r="K31" s="675">
        <f t="shared" si="3"/>
        <v>0.15549624992230376</v>
      </c>
      <c r="M31" s="671" t="s">
        <v>618</v>
      </c>
      <c r="N31" s="672">
        <f t="shared" si="4"/>
        <v>10827066</v>
      </c>
      <c r="O31" s="673">
        <f t="shared" si="5"/>
        <v>4.6338226511490479</v>
      </c>
      <c r="P31" s="674" t="s">
        <v>598</v>
      </c>
      <c r="Q31" s="675">
        <f t="shared" si="6"/>
        <v>7.2285802272209173E-4</v>
      </c>
      <c r="R31" s="676">
        <f t="shared" ref="R31:R33" si="14">O31-I32</f>
        <v>4.6338226511490479</v>
      </c>
      <c r="S31" s="675">
        <f t="shared" si="7"/>
        <v>6.5081778808273143E-3</v>
      </c>
      <c r="T31" s="676">
        <f t="shared" ref="T31:T33" si="15">N31-H32</f>
        <v>10398696</v>
      </c>
      <c r="U31" s="677"/>
    </row>
    <row r="32" spans="1:21" ht="14.25" customHeight="1">
      <c r="A32" s="671" t="s">
        <v>620</v>
      </c>
      <c r="B32" s="672">
        <f t="shared" si="0"/>
        <v>1605758616</v>
      </c>
      <c r="C32" s="673">
        <f t="shared" si="1"/>
        <v>713.31999999999994</v>
      </c>
      <c r="D32" s="674" t="s">
        <v>598</v>
      </c>
      <c r="E32" s="675">
        <f t="shared" si="2"/>
        <v>0.10076903862464721</v>
      </c>
      <c r="G32" s="671" t="s">
        <v>618</v>
      </c>
      <c r="H32" s="672">
        <v>428370</v>
      </c>
      <c r="I32" s="673">
        <v>0</v>
      </c>
      <c r="J32" s="674" t="s">
        <v>598</v>
      </c>
      <c r="K32" s="675">
        <f t="shared" si="3"/>
        <v>2.6278625876853814E-5</v>
      </c>
      <c r="M32" s="671" t="s">
        <v>620</v>
      </c>
      <c r="N32" s="672">
        <f t="shared" si="4"/>
        <v>886452800</v>
      </c>
      <c r="O32" s="673">
        <f t="shared" si="5"/>
        <v>337.97327515609402</v>
      </c>
      <c r="P32" s="674" t="s">
        <v>598</v>
      </c>
      <c r="Q32" s="675">
        <f t="shared" si="6"/>
        <v>5.9183117406364928E-2</v>
      </c>
      <c r="R32" s="676">
        <f t="shared" si="14"/>
        <v>-575.02672484390598</v>
      </c>
      <c r="S32" s="675" t="e">
        <f t="shared" si="7"/>
        <v>#DIV/0!</v>
      </c>
      <c r="T32" s="679">
        <f t="shared" si="15"/>
        <v>-1207059994</v>
      </c>
      <c r="U32" s="677"/>
    </row>
    <row r="33" spans="1:21" ht="14.25" customHeight="1">
      <c r="A33" s="671" t="s">
        <v>621</v>
      </c>
      <c r="B33" s="672">
        <f t="shared" si="0"/>
        <v>97737789</v>
      </c>
      <c r="C33" s="673">
        <f t="shared" si="1"/>
        <v>43.31</v>
      </c>
      <c r="D33" s="674" t="s">
        <v>598</v>
      </c>
      <c r="E33" s="675">
        <f t="shared" si="2"/>
        <v>6.1335140516715243E-3</v>
      </c>
      <c r="G33" s="671" t="s">
        <v>620</v>
      </c>
      <c r="H33" s="672">
        <v>2093512794</v>
      </c>
      <c r="I33" s="673">
        <v>913</v>
      </c>
      <c r="J33" s="674" t="s">
        <v>598</v>
      </c>
      <c r="K33" s="675">
        <f t="shared" si="3"/>
        <v>0.12842785321552147</v>
      </c>
      <c r="M33" s="671" t="s">
        <v>621</v>
      </c>
      <c r="N33" s="672">
        <f t="shared" si="4"/>
        <v>192516947</v>
      </c>
      <c r="O33" s="673">
        <f t="shared" si="5"/>
        <v>71.655074673405878</v>
      </c>
      <c r="P33" s="674" t="s">
        <v>598</v>
      </c>
      <c r="Q33" s="675">
        <f t="shared" si="6"/>
        <v>1.2853197685219036E-2</v>
      </c>
      <c r="R33" s="676">
        <f t="shared" si="14"/>
        <v>-121.71572732659412</v>
      </c>
      <c r="S33" s="675">
        <f t="shared" si="7"/>
        <v>-0.1333140496457767</v>
      </c>
      <c r="T33" s="676">
        <f t="shared" si="15"/>
        <v>-226204349</v>
      </c>
      <c r="U33" s="677"/>
    </row>
    <row r="34" spans="1:21" ht="14.25" customHeight="1">
      <c r="A34" s="680" t="s">
        <v>87</v>
      </c>
      <c r="B34" s="681">
        <f t="shared" ref="B34:C34" si="16">SUM(B16:B33)</f>
        <v>15935039551</v>
      </c>
      <c r="C34" s="682">
        <f t="shared" si="16"/>
        <v>5217.1000000000004</v>
      </c>
      <c r="D34" s="683"/>
      <c r="E34" s="684">
        <f>SUM(E16:E33)</f>
        <v>1</v>
      </c>
      <c r="G34" s="671" t="s">
        <v>621</v>
      </c>
      <c r="H34" s="672">
        <v>418721296</v>
      </c>
      <c r="I34" s="673">
        <v>193.370802</v>
      </c>
      <c r="J34" s="674" t="s">
        <v>598</v>
      </c>
      <c r="K34" s="675">
        <f t="shared" si="3"/>
        <v>2.568672008837072E-2</v>
      </c>
      <c r="U34" s="431"/>
    </row>
    <row r="35" spans="1:21" ht="14.25" customHeight="1">
      <c r="A35" s="450"/>
      <c r="B35" s="685"/>
      <c r="C35" s="686"/>
      <c r="D35" s="660"/>
      <c r="E35" s="687"/>
      <c r="G35" s="680" t="s">
        <v>87</v>
      </c>
      <c r="H35" s="681">
        <f t="shared" ref="H35:I35" si="17">SUM(H16:H34)</f>
        <v>16301080658</v>
      </c>
      <c r="I35" s="688">
        <f t="shared" si="17"/>
        <v>6615.3451375000004</v>
      </c>
      <c r="J35" s="683"/>
      <c r="K35" s="684">
        <f>SUM(K16:K34)</f>
        <v>1.0000000000000002</v>
      </c>
      <c r="M35" s="680" t="s">
        <v>87</v>
      </c>
      <c r="N35" s="681">
        <f t="shared" ref="N35:O35" si="18">SUM(N16:N33)</f>
        <v>14978136314</v>
      </c>
      <c r="O35" s="688">
        <f t="shared" si="18"/>
        <v>4140.2040331628741</v>
      </c>
      <c r="P35" s="683"/>
      <c r="Q35" s="684">
        <f t="shared" ref="Q35:R35" si="19">SUM(Q16:Q33)</f>
        <v>1.0000000000000002</v>
      </c>
      <c r="R35" s="689">
        <f t="shared" si="19"/>
        <v>-2552.7784551718173</v>
      </c>
      <c r="S35" s="684"/>
      <c r="T35" s="431"/>
      <c r="U35" s="431"/>
    </row>
    <row r="36" spans="1:21" ht="14.25" customHeight="1">
      <c r="A36" s="431"/>
      <c r="B36" s="431"/>
      <c r="C36" s="690">
        <f>C34/(B34/B41)</f>
        <v>2.4849507824105182E-4</v>
      </c>
      <c r="D36" s="654"/>
      <c r="E36" s="654"/>
      <c r="F36" s="431"/>
      <c r="G36" s="431"/>
      <c r="H36" s="431"/>
      <c r="I36" s="431"/>
      <c r="J36" s="431"/>
      <c r="K36" s="431"/>
      <c r="L36" s="450"/>
      <c r="P36" s="431"/>
      <c r="Q36" s="431"/>
      <c r="R36" s="691">
        <f>O35-I35</f>
        <v>-2475.1411043371263</v>
      </c>
      <c r="S36" s="431"/>
      <c r="U36" s="431"/>
    </row>
    <row r="37" spans="1:21" ht="14.25" customHeight="1">
      <c r="A37" s="431"/>
      <c r="B37" s="431"/>
      <c r="C37" s="654"/>
      <c r="D37" s="654"/>
      <c r="E37" s="654"/>
      <c r="F37" s="431"/>
      <c r="G37" s="431"/>
      <c r="H37" s="431"/>
      <c r="I37" s="431"/>
      <c r="P37" s="431"/>
      <c r="Q37" s="431"/>
      <c r="R37" s="431"/>
      <c r="S37" s="431"/>
      <c r="T37" s="431"/>
      <c r="U37" s="431"/>
    </row>
    <row r="38" spans="1:21" ht="14.25" customHeight="1">
      <c r="A38" s="1506" t="s">
        <v>468</v>
      </c>
      <c r="B38" s="1392"/>
      <c r="C38" s="1392"/>
      <c r="D38" s="1392"/>
      <c r="E38" s="1392"/>
      <c r="F38" s="1392"/>
      <c r="G38" s="1392"/>
      <c r="H38" s="1392"/>
      <c r="I38" s="1392"/>
      <c r="K38" s="431"/>
      <c r="L38" s="692" t="s">
        <v>592</v>
      </c>
      <c r="M38" s="692" t="s">
        <v>593</v>
      </c>
      <c r="N38" s="692" t="s">
        <v>437</v>
      </c>
      <c r="O38" s="692" t="s">
        <v>47</v>
      </c>
      <c r="P38" s="692" t="s">
        <v>47</v>
      </c>
      <c r="Q38" s="692" t="s">
        <v>622</v>
      </c>
      <c r="R38" s="444"/>
      <c r="S38" s="444"/>
      <c r="T38" s="444"/>
      <c r="U38" s="431"/>
    </row>
    <row r="39" spans="1:21" ht="14.25" customHeight="1">
      <c r="A39" s="693"/>
      <c r="B39" s="501">
        <v>2021</v>
      </c>
      <c r="C39" s="501">
        <v>2022</v>
      </c>
      <c r="D39" s="501" t="s">
        <v>469</v>
      </c>
      <c r="E39" s="501" t="s">
        <v>257</v>
      </c>
      <c r="F39" s="624" t="s">
        <v>496</v>
      </c>
      <c r="G39" s="624"/>
      <c r="H39" s="624"/>
      <c r="I39" s="624"/>
      <c r="J39" s="694"/>
      <c r="K39" s="695">
        <v>1</v>
      </c>
      <c r="L39" s="696" t="s">
        <v>616</v>
      </c>
      <c r="M39" s="697">
        <v>2906489376</v>
      </c>
      <c r="N39" s="698">
        <v>700.76156258695528</v>
      </c>
      <c r="O39" s="699">
        <f t="shared" ref="O39:O57" si="20">N39/$N$57</f>
        <v>0.16925773632745689</v>
      </c>
      <c r="P39" s="1507">
        <f>SUM(O39:O45)</f>
        <v>0.79074694131131218</v>
      </c>
      <c r="Q39" s="516">
        <v>0.21332419999999999</v>
      </c>
      <c r="R39" s="700"/>
      <c r="S39" s="701"/>
      <c r="T39" s="702"/>
      <c r="U39" s="434"/>
    </row>
    <row r="40" spans="1:21" ht="32.25" customHeight="1">
      <c r="A40" s="703" t="s">
        <v>385</v>
      </c>
      <c r="B40" s="504">
        <f>H35</f>
        <v>16301080658</v>
      </c>
      <c r="C40" s="504">
        <f>N35</f>
        <v>14978136314</v>
      </c>
      <c r="D40" s="504">
        <f t="shared" ref="D40:D50" si="21">C40-B40</f>
        <v>-1322944344</v>
      </c>
      <c r="E40" s="512">
        <f t="shared" ref="E40:E50" si="22">D40/B40</f>
        <v>-8.1156849153478983E-2</v>
      </c>
      <c r="F40" s="704" t="s">
        <v>623</v>
      </c>
      <c r="G40" s="705"/>
      <c r="H40" s="705"/>
      <c r="I40" s="705"/>
      <c r="J40" s="703"/>
      <c r="K40" s="706">
        <v>2</v>
      </c>
      <c r="L40" s="707" t="s">
        <v>604</v>
      </c>
      <c r="M40" s="708">
        <v>2769155553</v>
      </c>
      <c r="N40" s="709">
        <v>644.25548094877638</v>
      </c>
      <c r="O40" s="710">
        <f t="shared" si="20"/>
        <v>0.15560959696389717</v>
      </c>
      <c r="P40" s="1402"/>
      <c r="Q40" s="516">
        <v>0.20678606999999999</v>
      </c>
      <c r="R40" s="450"/>
      <c r="S40" s="450"/>
      <c r="T40" s="450"/>
      <c r="U40" s="431"/>
    </row>
    <row r="41" spans="1:21" ht="14.25" customHeight="1">
      <c r="A41" s="703" t="s">
        <v>624</v>
      </c>
      <c r="B41" s="504">
        <v>759</v>
      </c>
      <c r="C41" s="504">
        <v>886</v>
      </c>
      <c r="D41" s="504">
        <f t="shared" si="21"/>
        <v>127</v>
      </c>
      <c r="E41" s="512">
        <f t="shared" si="22"/>
        <v>0.16732542819499341</v>
      </c>
      <c r="F41" s="705" t="s">
        <v>625</v>
      </c>
      <c r="G41" s="705"/>
      <c r="H41" s="705"/>
      <c r="I41" s="705"/>
      <c r="J41" s="703"/>
      <c r="K41" s="706">
        <v>3</v>
      </c>
      <c r="L41" s="707" t="s">
        <v>603</v>
      </c>
      <c r="M41" s="708">
        <v>1814125681</v>
      </c>
      <c r="N41" s="709">
        <v>481.85328192575872</v>
      </c>
      <c r="O41" s="710">
        <f t="shared" si="20"/>
        <v>0.11638394583120362</v>
      </c>
      <c r="P41" s="1402"/>
      <c r="Q41" s="516">
        <v>0.23560117999999999</v>
      </c>
      <c r="R41" s="431"/>
      <c r="S41" s="431"/>
      <c r="T41" s="431"/>
      <c r="U41" s="431"/>
    </row>
    <row r="42" spans="1:21" ht="26.25" customHeight="1">
      <c r="A42" s="703" t="s">
        <v>387</v>
      </c>
      <c r="B42" s="504">
        <f t="shared" ref="B42:C42" si="23">B40/B41</f>
        <v>21477049.615283266</v>
      </c>
      <c r="C42" s="504">
        <f t="shared" si="23"/>
        <v>16905345.726862304</v>
      </c>
      <c r="D42" s="504">
        <f t="shared" si="21"/>
        <v>-4571703.8884209618</v>
      </c>
      <c r="E42" s="512">
        <f t="shared" si="22"/>
        <v>-0.21286461456827363</v>
      </c>
      <c r="F42" s="704" t="s">
        <v>626</v>
      </c>
      <c r="G42" s="704"/>
      <c r="H42" s="705"/>
      <c r="I42" s="705"/>
      <c r="J42" s="703"/>
      <c r="K42" s="706">
        <v>4</v>
      </c>
      <c r="L42" s="707" t="s">
        <v>615</v>
      </c>
      <c r="M42" s="708">
        <v>1148314294</v>
      </c>
      <c r="N42" s="709">
        <v>447.95019954349686</v>
      </c>
      <c r="O42" s="710">
        <f t="shared" si="20"/>
        <v>0.1081951990663825</v>
      </c>
      <c r="P42" s="1402"/>
      <c r="Q42" s="516">
        <v>0.34631561999999999</v>
      </c>
      <c r="R42" s="431"/>
      <c r="S42" s="431"/>
      <c r="T42" s="431"/>
      <c r="U42" s="431"/>
    </row>
    <row r="43" spans="1:21" ht="14.25" customHeight="1">
      <c r="A43" s="703" t="s">
        <v>627</v>
      </c>
      <c r="B43" s="516">
        <f t="shared" ref="B43:C43" si="24">B44*1000/B42</f>
        <v>0.30801926968555587</v>
      </c>
      <c r="C43" s="516">
        <f t="shared" si="24"/>
        <v>0.24490501998927836</v>
      </c>
      <c r="D43" s="516">
        <f t="shared" si="21"/>
        <v>-6.3114249696277519E-2</v>
      </c>
      <c r="E43" s="512">
        <f t="shared" si="22"/>
        <v>-0.20490357554807609</v>
      </c>
      <c r="F43" s="705" t="s">
        <v>628</v>
      </c>
      <c r="G43" s="705"/>
      <c r="H43" s="705"/>
      <c r="I43" s="705"/>
      <c r="J43" s="703"/>
      <c r="K43" s="706">
        <v>5</v>
      </c>
      <c r="L43" s="707" t="s">
        <v>610</v>
      </c>
      <c r="M43" s="708">
        <v>1274735466</v>
      </c>
      <c r="N43" s="709">
        <v>391.42414302678111</v>
      </c>
      <c r="O43" s="710">
        <f t="shared" si="20"/>
        <v>9.4542235090707819E-2</v>
      </c>
      <c r="P43" s="1402"/>
      <c r="Q43" s="516">
        <v>0.24271677999999999</v>
      </c>
      <c r="R43" s="431"/>
      <c r="S43" s="431"/>
      <c r="T43" s="431"/>
      <c r="U43" s="431"/>
    </row>
    <row r="44" spans="1:21" ht="42.75" customHeight="1">
      <c r="A44" s="711" t="s">
        <v>629</v>
      </c>
      <c r="B44" s="631">
        <f>I35</f>
        <v>6615.3451375000004</v>
      </c>
      <c r="C44" s="631">
        <f>O35</f>
        <v>4140.2040331628741</v>
      </c>
      <c r="D44" s="631">
        <f t="shared" si="21"/>
        <v>-2475.1411043371263</v>
      </c>
      <c r="E44" s="712">
        <f t="shared" si="22"/>
        <v>-0.37415146948364736</v>
      </c>
      <c r="F44" s="704" t="s">
        <v>630</v>
      </c>
      <c r="G44" s="705"/>
      <c r="H44" s="705"/>
      <c r="I44" s="705"/>
      <c r="J44" s="703"/>
      <c r="K44" s="706">
        <v>6</v>
      </c>
      <c r="L44" s="707" t="s">
        <v>620</v>
      </c>
      <c r="M44" s="708">
        <v>886452800</v>
      </c>
      <c r="N44" s="709">
        <v>337.97327515609402</v>
      </c>
      <c r="O44" s="710">
        <f t="shared" si="20"/>
        <v>8.1632033699049894E-2</v>
      </c>
      <c r="P44" s="1402"/>
      <c r="Q44" s="516">
        <v>0.33101680999999999</v>
      </c>
      <c r="R44" s="431"/>
      <c r="S44" s="431"/>
      <c r="T44" s="431"/>
      <c r="U44" s="431"/>
    </row>
    <row r="45" spans="1:21" ht="14.25" customHeight="1">
      <c r="A45" s="711" t="s">
        <v>7</v>
      </c>
      <c r="B45" s="509">
        <f>B44*1000/B61</f>
        <v>0.20081093446977993</v>
      </c>
      <c r="C45" s="509">
        <f>C44*1000/B62</f>
        <v>0.21669841961166805</v>
      </c>
      <c r="D45" s="509">
        <f t="shared" si="21"/>
        <v>1.5887485141888119E-2</v>
      </c>
      <c r="E45" s="712">
        <f t="shared" si="22"/>
        <v>7.9116633682510096E-2</v>
      </c>
      <c r="F45" s="704" t="s">
        <v>631</v>
      </c>
      <c r="G45" s="705"/>
      <c r="H45" s="705"/>
      <c r="I45" s="705"/>
      <c r="J45" s="703"/>
      <c r="K45" s="706">
        <v>7</v>
      </c>
      <c r="L45" s="713" t="s">
        <v>606</v>
      </c>
      <c r="M45" s="714">
        <v>977833304</v>
      </c>
      <c r="N45" s="715">
        <v>269.63573244043863</v>
      </c>
      <c r="O45" s="716">
        <f t="shared" si="20"/>
        <v>6.5126194332614254E-2</v>
      </c>
      <c r="P45" s="1403"/>
      <c r="Q45" s="516">
        <v>0.24271677999999999</v>
      </c>
      <c r="R45" s="431"/>
      <c r="S45" s="431"/>
      <c r="T45" s="431"/>
      <c r="U45" s="431"/>
    </row>
    <row r="46" spans="1:21" ht="14.25" customHeight="1">
      <c r="A46" s="703" t="s">
        <v>632</v>
      </c>
      <c r="B46" s="504">
        <f>I31</f>
        <v>712</v>
      </c>
      <c r="C46" s="504">
        <f>O29</f>
        <v>700.76156258695528</v>
      </c>
      <c r="D46" s="504">
        <f t="shared" si="21"/>
        <v>-11.238437413044721</v>
      </c>
      <c r="E46" s="512">
        <f t="shared" si="22"/>
        <v>-1.5784322209332475E-2</v>
      </c>
      <c r="F46" s="705" t="s">
        <v>633</v>
      </c>
      <c r="G46" s="705"/>
      <c r="H46" s="705"/>
      <c r="I46" s="705"/>
      <c r="J46" s="703"/>
      <c r="K46" s="531">
        <v>8</v>
      </c>
      <c r="L46" s="696" t="s">
        <v>612</v>
      </c>
      <c r="M46" s="697">
        <v>997344185</v>
      </c>
      <c r="N46" s="698">
        <v>205.80781310802004</v>
      </c>
      <c r="O46" s="717">
        <f t="shared" si="20"/>
        <v>4.9709582295825866E-2</v>
      </c>
      <c r="P46" s="1507">
        <f>SUM(O46:O56)</f>
        <v>0.20925305868868788</v>
      </c>
      <c r="Q46" s="516">
        <v>0.18015993</v>
      </c>
      <c r="R46" s="431"/>
      <c r="S46" s="431"/>
      <c r="T46" s="431"/>
      <c r="U46" s="431"/>
    </row>
    <row r="47" spans="1:21" ht="14.25" customHeight="1">
      <c r="A47" s="703" t="s">
        <v>634</v>
      </c>
      <c r="B47" s="504">
        <f>I22</f>
        <v>395</v>
      </c>
      <c r="C47" s="504">
        <f>O20</f>
        <v>644.25548094877638</v>
      </c>
      <c r="D47" s="504">
        <f t="shared" si="21"/>
        <v>249.25548094877638</v>
      </c>
      <c r="E47" s="512">
        <f t="shared" si="22"/>
        <v>0.63102653404753517</v>
      </c>
      <c r="F47" s="705" t="s">
        <v>635</v>
      </c>
      <c r="G47" s="705"/>
      <c r="H47" s="705"/>
      <c r="I47" s="705"/>
      <c r="J47" s="703"/>
      <c r="K47" s="531">
        <v>9</v>
      </c>
      <c r="L47" s="707" t="s">
        <v>609</v>
      </c>
      <c r="M47" s="708">
        <v>747797840</v>
      </c>
      <c r="N47" s="709">
        <v>199.89936859239683</v>
      </c>
      <c r="O47" s="614">
        <f t="shared" si="20"/>
        <v>4.8282492116622902E-2</v>
      </c>
      <c r="P47" s="1402"/>
      <c r="Q47" s="516">
        <v>0.23610624999999999</v>
      </c>
      <c r="R47" s="431"/>
      <c r="S47" s="431"/>
      <c r="T47" s="431"/>
      <c r="U47" s="431"/>
    </row>
    <row r="48" spans="1:21" ht="14.25" customHeight="1">
      <c r="A48" s="703" t="s">
        <v>636</v>
      </c>
      <c r="B48" s="504">
        <f>I21</f>
        <v>540</v>
      </c>
      <c r="C48" s="504">
        <f>O19</f>
        <v>481.85328192575872</v>
      </c>
      <c r="D48" s="504">
        <f t="shared" si="21"/>
        <v>-58.146718074241278</v>
      </c>
      <c r="E48" s="512">
        <f t="shared" si="22"/>
        <v>-0.10767910754489125</v>
      </c>
      <c r="F48" s="705" t="s">
        <v>637</v>
      </c>
      <c r="G48" s="705"/>
      <c r="H48" s="705"/>
      <c r="I48" s="705"/>
      <c r="J48" s="703"/>
      <c r="K48" s="531">
        <v>10</v>
      </c>
      <c r="L48" s="707" t="s">
        <v>599</v>
      </c>
      <c r="M48" s="708">
        <v>383015502</v>
      </c>
      <c r="N48" s="709">
        <v>152.03835622977041</v>
      </c>
      <c r="O48" s="614">
        <f t="shared" si="20"/>
        <v>3.6722430829966124E-2</v>
      </c>
      <c r="P48" s="1402"/>
      <c r="Q48" s="516">
        <v>0.34921655000000001</v>
      </c>
      <c r="R48" s="431"/>
      <c r="S48" s="431"/>
      <c r="T48" s="431"/>
      <c r="U48" s="431"/>
    </row>
    <row r="49" spans="1:20" ht="14.25" customHeight="1">
      <c r="A49" s="703" t="s">
        <v>638</v>
      </c>
      <c r="B49" s="504">
        <f>I30</f>
        <v>793</v>
      </c>
      <c r="C49" s="504">
        <f>O28</f>
        <v>447.95019954349686</v>
      </c>
      <c r="D49" s="504">
        <f t="shared" si="21"/>
        <v>-345.04980045650314</v>
      </c>
      <c r="E49" s="512">
        <f t="shared" si="22"/>
        <v>-0.43511954660340874</v>
      </c>
      <c r="F49" s="705" t="s">
        <v>639</v>
      </c>
      <c r="G49" s="705"/>
      <c r="H49" s="705"/>
      <c r="I49" s="705"/>
      <c r="J49" s="703"/>
      <c r="K49" s="445">
        <v>11</v>
      </c>
      <c r="L49" s="707" t="s">
        <v>621</v>
      </c>
      <c r="M49" s="708">
        <v>192516947</v>
      </c>
      <c r="N49" s="709">
        <v>71.655074673405878</v>
      </c>
      <c r="O49" s="614">
        <f t="shared" si="20"/>
        <v>1.7307136097509085E-2</v>
      </c>
      <c r="P49" s="1402"/>
      <c r="Q49" s="516">
        <v>0.32957987</v>
      </c>
      <c r="R49" s="444"/>
      <c r="S49" s="444"/>
      <c r="T49" s="444"/>
    </row>
    <row r="50" spans="1:20" ht="14.25" customHeight="1">
      <c r="A50" s="703" t="s">
        <v>640</v>
      </c>
      <c r="B50" s="504">
        <f>I25</f>
        <v>397</v>
      </c>
      <c r="C50" s="504">
        <f>O24</f>
        <v>391.42414302678111</v>
      </c>
      <c r="D50" s="504">
        <f t="shared" si="21"/>
        <v>-5.5758569732188903</v>
      </c>
      <c r="E50" s="512">
        <f t="shared" si="22"/>
        <v>-1.4044979781407785E-2</v>
      </c>
      <c r="F50" s="705" t="s">
        <v>641</v>
      </c>
      <c r="G50" s="705"/>
      <c r="H50" s="705"/>
      <c r="I50" s="705"/>
      <c r="J50" s="703"/>
      <c r="K50" s="445">
        <v>12</v>
      </c>
      <c r="L50" s="707" t="s">
        <v>617</v>
      </c>
      <c r="M50" s="708">
        <v>258693810</v>
      </c>
      <c r="N50" s="709">
        <v>69.158015692105309</v>
      </c>
      <c r="O50" s="614">
        <f t="shared" si="20"/>
        <v>1.6704011478215149E-2</v>
      </c>
      <c r="P50" s="1402"/>
      <c r="Q50" s="516">
        <v>0.23560117999999999</v>
      </c>
      <c r="R50" s="444"/>
      <c r="S50" s="444"/>
      <c r="T50" s="444"/>
    </row>
    <row r="51" spans="1:20" ht="14.25" customHeight="1">
      <c r="B51" s="444"/>
      <c r="C51" s="431"/>
      <c r="D51" s="431"/>
      <c r="E51" s="431"/>
      <c r="F51" s="431"/>
      <c r="G51" s="431"/>
      <c r="H51" s="431"/>
      <c r="I51" s="431"/>
      <c r="K51" s="445">
        <v>13</v>
      </c>
      <c r="L51" s="707" t="s">
        <v>597</v>
      </c>
      <c r="M51" s="708">
        <v>116009037</v>
      </c>
      <c r="N51" s="709">
        <v>66.540674759968454</v>
      </c>
      <c r="O51" s="614">
        <f t="shared" si="20"/>
        <v>1.6071834679397493E-2</v>
      </c>
      <c r="P51" s="1402"/>
      <c r="Q51" s="516">
        <v>0.49813173999999999</v>
      </c>
      <c r="R51" s="444"/>
      <c r="S51" s="444"/>
      <c r="T51" s="444"/>
    </row>
    <row r="52" spans="1:20" ht="14.25" customHeight="1">
      <c r="A52" s="718" t="s">
        <v>107</v>
      </c>
      <c r="B52" s="718" t="s">
        <v>642</v>
      </c>
      <c r="C52" s="718" t="s">
        <v>643</v>
      </c>
      <c r="D52" s="718" t="s">
        <v>644</v>
      </c>
      <c r="E52" s="431"/>
      <c r="F52" s="431"/>
      <c r="G52" s="431"/>
      <c r="H52" s="431"/>
      <c r="I52" s="431"/>
      <c r="K52" s="445">
        <v>14</v>
      </c>
      <c r="L52" s="707" t="s">
        <v>607</v>
      </c>
      <c r="M52" s="708">
        <v>299398083</v>
      </c>
      <c r="N52" s="709">
        <v>45.945910604920556</v>
      </c>
      <c r="O52" s="614">
        <f t="shared" si="20"/>
        <v>1.1097499117651108E-2</v>
      </c>
      <c r="P52" s="1402"/>
      <c r="Q52" s="516">
        <v>0.13468558</v>
      </c>
      <c r="R52" s="444"/>
      <c r="S52" s="444"/>
      <c r="T52" s="444"/>
    </row>
    <row r="53" spans="1:20" ht="14.25" customHeight="1">
      <c r="A53" s="703" t="s">
        <v>645</v>
      </c>
      <c r="B53" s="516">
        <v>0.21332419999999999</v>
      </c>
      <c r="C53" s="514">
        <f>K31</f>
        <v>0.15549624992230376</v>
      </c>
      <c r="D53" s="514">
        <f>Q29</f>
        <v>0.19404879986860027</v>
      </c>
      <c r="E53" s="431"/>
      <c r="F53" s="431"/>
      <c r="G53" s="431"/>
      <c r="H53" s="431"/>
      <c r="I53" s="431"/>
      <c r="K53" s="445">
        <v>15</v>
      </c>
      <c r="L53" s="707" t="s">
        <v>601</v>
      </c>
      <c r="M53" s="708">
        <v>109318192</v>
      </c>
      <c r="N53" s="709">
        <v>29.742609019571823</v>
      </c>
      <c r="O53" s="614">
        <f t="shared" si="20"/>
        <v>7.1838510327835716E-3</v>
      </c>
      <c r="P53" s="1402"/>
      <c r="Q53" s="516">
        <v>0.24537962999999999</v>
      </c>
      <c r="R53" s="444"/>
      <c r="S53" s="444"/>
      <c r="T53" s="444"/>
    </row>
    <row r="54" spans="1:20" ht="14.25" customHeight="1">
      <c r="A54" s="703" t="s">
        <v>646</v>
      </c>
      <c r="B54" s="516">
        <v>0.20678606999999999</v>
      </c>
      <c r="C54" s="514">
        <f>K22</f>
        <v>8.8901902788192433E-2</v>
      </c>
      <c r="D54" s="514">
        <f>Q20</f>
        <v>0.18487984719512013</v>
      </c>
      <c r="E54" s="431"/>
      <c r="F54" s="431"/>
      <c r="G54" s="431"/>
      <c r="H54" s="431"/>
      <c r="I54" s="431"/>
      <c r="K54" s="445">
        <v>16</v>
      </c>
      <c r="L54" s="707" t="s">
        <v>613</v>
      </c>
      <c r="M54" s="708">
        <v>71884631</v>
      </c>
      <c r="N54" s="709">
        <v>17.091269611069322</v>
      </c>
      <c r="O54" s="614">
        <f t="shared" si="20"/>
        <v>4.1281225452100704E-3</v>
      </c>
      <c r="P54" s="1402"/>
      <c r="Q54" s="516">
        <v>0.23560117999999999</v>
      </c>
      <c r="R54" s="444"/>
      <c r="S54" s="444"/>
      <c r="T54" s="444"/>
    </row>
    <row r="55" spans="1:20" ht="14.25" customHeight="1">
      <c r="A55" s="703" t="s">
        <v>647</v>
      </c>
      <c r="B55" s="516">
        <v>0.23560117999999999</v>
      </c>
      <c r="C55" s="514">
        <f>K21</f>
        <v>0.10861074919785235</v>
      </c>
      <c r="D55" s="514">
        <f>Q19</f>
        <v>0.12111825149463652</v>
      </c>
      <c r="E55" s="431"/>
      <c r="F55" s="431"/>
      <c r="G55" s="431"/>
      <c r="H55" s="431"/>
      <c r="I55" s="431"/>
      <c r="K55" s="445">
        <v>17</v>
      </c>
      <c r="L55" s="707" t="s">
        <v>618</v>
      </c>
      <c r="M55" s="708">
        <v>10827066</v>
      </c>
      <c r="N55" s="709">
        <v>4.6338226511490479</v>
      </c>
      <c r="O55" s="614">
        <f t="shared" si="20"/>
        <v>1.1192256743948626E-3</v>
      </c>
      <c r="P55" s="1402"/>
      <c r="Q55" s="516">
        <v>0.37482599999999999</v>
      </c>
      <c r="R55" s="444"/>
      <c r="S55" s="444"/>
      <c r="T55" s="444"/>
    </row>
    <row r="56" spans="1:20" ht="14.25" customHeight="1">
      <c r="A56" s="703" t="s">
        <v>648</v>
      </c>
      <c r="B56" s="516">
        <v>0.34631561999999999</v>
      </c>
      <c r="C56" s="514">
        <f>K30</f>
        <v>0.10660830858150092</v>
      </c>
      <c r="D56" s="514">
        <f>Q28</f>
        <v>7.6666033071596196E-2</v>
      </c>
      <c r="E56" s="431"/>
      <c r="F56" s="431"/>
      <c r="G56" s="431"/>
      <c r="H56" s="431"/>
      <c r="I56" s="431"/>
      <c r="K56" s="445">
        <v>18</v>
      </c>
      <c r="L56" s="713" t="s">
        <v>611</v>
      </c>
      <c r="M56" s="714">
        <v>14224547</v>
      </c>
      <c r="N56" s="715">
        <v>3.837442592195397</v>
      </c>
      <c r="O56" s="719">
        <f t="shared" si="20"/>
        <v>9.2687282111162403E-4</v>
      </c>
      <c r="P56" s="1403"/>
      <c r="Q56" s="516">
        <v>0.23560117999999999</v>
      </c>
      <c r="R56" s="444"/>
      <c r="S56" s="444"/>
      <c r="T56" s="444"/>
    </row>
    <row r="57" spans="1:20" ht="14.25" customHeight="1">
      <c r="A57" s="703" t="s">
        <v>649</v>
      </c>
      <c r="B57" s="516">
        <v>0.24271677999999999</v>
      </c>
      <c r="C57" s="514">
        <f>K25</f>
        <v>7.6184852345388604E-2</v>
      </c>
      <c r="D57" s="514">
        <f>Q24</f>
        <v>8.5106413727087674E-2</v>
      </c>
      <c r="E57" s="431"/>
      <c r="F57" s="431"/>
      <c r="G57" s="431"/>
      <c r="H57" s="431"/>
      <c r="I57" s="431"/>
      <c r="K57" s="445"/>
      <c r="L57" s="720" t="s">
        <v>87</v>
      </c>
      <c r="M57" s="721">
        <v>14978136314</v>
      </c>
      <c r="N57" s="722">
        <v>4140.2040331628741</v>
      </c>
      <c r="O57" s="723">
        <f t="shared" si="20"/>
        <v>1</v>
      </c>
      <c r="P57" s="724">
        <f>O57/$N$57</f>
        <v>2.4153399011015851E-4</v>
      </c>
      <c r="Q57" s="720"/>
      <c r="R57" s="444"/>
      <c r="S57" s="444"/>
      <c r="T57" s="444"/>
    </row>
    <row r="58" spans="1:20" ht="14.25" customHeight="1">
      <c r="A58" s="431"/>
      <c r="B58" s="431"/>
      <c r="C58" s="431"/>
      <c r="D58" s="431"/>
      <c r="E58" s="431"/>
      <c r="F58" s="431"/>
      <c r="G58" s="431"/>
      <c r="H58" s="431"/>
      <c r="I58" s="431"/>
      <c r="Q58" s="444"/>
      <c r="R58" s="444"/>
      <c r="S58" s="444"/>
      <c r="T58" s="444"/>
    </row>
    <row r="59" spans="1:20" ht="14.25" customHeight="1">
      <c r="J59" s="431"/>
      <c r="K59" s="450"/>
      <c r="L59" s="450"/>
      <c r="M59" s="725"/>
      <c r="N59" s="450"/>
      <c r="O59" s="532"/>
      <c r="P59" s="444"/>
      <c r="Q59" s="444"/>
      <c r="R59" s="444"/>
      <c r="S59" s="444"/>
      <c r="T59" s="444"/>
    </row>
    <row r="60" spans="1:20" ht="14.25" customHeight="1">
      <c r="A60" s="1449" t="s">
        <v>227</v>
      </c>
      <c r="B60" s="1393"/>
      <c r="C60" s="431"/>
      <c r="D60" s="431"/>
      <c r="E60" s="431"/>
      <c r="F60" s="431"/>
      <c r="G60" s="431"/>
      <c r="H60" s="431"/>
      <c r="I60" s="431"/>
      <c r="J60" s="431"/>
      <c r="K60" s="450"/>
      <c r="L60" s="450"/>
      <c r="M60" s="725"/>
      <c r="N60" s="450"/>
      <c r="O60" s="532"/>
      <c r="P60" s="444"/>
      <c r="Q60" s="444"/>
      <c r="R60" s="444"/>
      <c r="S60" s="444"/>
      <c r="T60" s="444"/>
    </row>
    <row r="61" spans="1:20" ht="14.25" customHeight="1">
      <c r="A61" s="426">
        <v>2021</v>
      </c>
      <c r="B61" s="427">
        <v>32943152</v>
      </c>
      <c r="C61" s="431"/>
      <c r="D61" s="431"/>
      <c r="E61" s="431"/>
      <c r="F61" s="431"/>
      <c r="G61" s="431"/>
      <c r="H61" s="431"/>
      <c r="I61" s="431"/>
      <c r="J61" s="431"/>
      <c r="K61" s="450"/>
      <c r="L61" s="450"/>
      <c r="M61" s="725"/>
      <c r="N61" s="450"/>
      <c r="O61" s="532"/>
      <c r="P61" s="444"/>
      <c r="Q61" s="444"/>
      <c r="R61" s="444"/>
      <c r="S61" s="444"/>
      <c r="T61" s="444"/>
    </row>
    <row r="62" spans="1:20" ht="14.25" customHeight="1">
      <c r="A62" s="426">
        <v>2022</v>
      </c>
      <c r="B62" s="427">
        <v>19105834</v>
      </c>
      <c r="C62" s="431"/>
      <c r="D62" s="431"/>
      <c r="E62" s="431"/>
      <c r="F62" s="431"/>
      <c r="G62" s="431"/>
      <c r="H62" s="431"/>
      <c r="I62" s="431"/>
      <c r="J62" s="431"/>
      <c r="K62" s="450"/>
      <c r="L62" s="450"/>
      <c r="M62" s="725"/>
      <c r="N62" s="450"/>
      <c r="O62" s="532"/>
      <c r="P62" s="444"/>
      <c r="Q62" s="444"/>
      <c r="R62" s="444"/>
      <c r="S62" s="444"/>
      <c r="T62" s="444"/>
    </row>
    <row r="63" spans="1:20" ht="14.25" customHeight="1">
      <c r="A63" s="431"/>
      <c r="B63" s="431"/>
      <c r="C63" s="431"/>
      <c r="D63" s="431"/>
      <c r="E63" s="431"/>
      <c r="F63" s="431"/>
      <c r="G63" s="431"/>
      <c r="H63" s="431"/>
      <c r="I63" s="431"/>
      <c r="J63" s="431"/>
      <c r="K63" s="450"/>
      <c r="L63" s="450"/>
      <c r="M63" s="725"/>
      <c r="N63" s="450"/>
      <c r="O63" s="532"/>
      <c r="P63" s="444"/>
      <c r="Q63" s="444"/>
      <c r="R63" s="444"/>
      <c r="S63" s="444"/>
      <c r="T63" s="444"/>
    </row>
    <row r="64" spans="1:20" ht="14.25" customHeight="1">
      <c r="A64" s="1508" t="s">
        <v>650</v>
      </c>
      <c r="B64" s="1392"/>
      <c r="C64" s="1392"/>
      <c r="D64" s="1392"/>
      <c r="E64" s="1392"/>
      <c r="F64" s="1393"/>
      <c r="G64" s="726"/>
      <c r="H64" s="1508" t="s">
        <v>651</v>
      </c>
      <c r="I64" s="1392"/>
      <c r="J64" s="1392"/>
      <c r="K64" s="1392"/>
      <c r="L64" s="1392"/>
      <c r="M64" s="1393"/>
      <c r="N64" s="727"/>
      <c r="O64" s="1508" t="s">
        <v>652</v>
      </c>
      <c r="P64" s="1392"/>
      <c r="Q64" s="1392"/>
      <c r="R64" s="1392"/>
      <c r="S64" s="1392"/>
      <c r="T64" s="1393"/>
    </row>
    <row r="65" spans="1:20" ht="14.25" customHeight="1">
      <c r="A65" s="728" t="s">
        <v>653</v>
      </c>
      <c r="B65" s="729" t="s">
        <v>654</v>
      </c>
      <c r="C65" s="730" t="s">
        <v>655</v>
      </c>
      <c r="D65" s="731" t="s">
        <v>47</v>
      </c>
      <c r="E65" s="731" t="s">
        <v>656</v>
      </c>
      <c r="F65" s="732" t="s">
        <v>496</v>
      </c>
      <c r="G65" s="733"/>
      <c r="H65" s="730" t="s">
        <v>657</v>
      </c>
      <c r="I65" s="730" t="s">
        <v>658</v>
      </c>
      <c r="J65" s="730" t="s">
        <v>659</v>
      </c>
      <c r="K65" s="734" t="s">
        <v>47</v>
      </c>
      <c r="L65" s="734" t="s">
        <v>656</v>
      </c>
      <c r="M65" s="732" t="s">
        <v>496</v>
      </c>
      <c r="N65" s="735"/>
      <c r="O65" s="730" t="s">
        <v>657</v>
      </c>
      <c r="P65" s="730" t="s">
        <v>658</v>
      </c>
      <c r="Q65" s="730" t="s">
        <v>659</v>
      </c>
      <c r="R65" s="734" t="s">
        <v>47</v>
      </c>
      <c r="S65" s="734" t="s">
        <v>656</v>
      </c>
      <c r="T65" s="732" t="s">
        <v>496</v>
      </c>
    </row>
    <row r="66" spans="1:20" ht="14.25" customHeight="1">
      <c r="A66" s="736" t="s">
        <v>660</v>
      </c>
      <c r="B66" s="737">
        <v>0</v>
      </c>
      <c r="C66" s="738">
        <v>40098072544</v>
      </c>
      <c r="D66" s="739">
        <v>0.32</v>
      </c>
      <c r="E66" s="737" t="s">
        <v>127</v>
      </c>
      <c r="F66" s="740" t="s">
        <v>661</v>
      </c>
      <c r="G66" s="741"/>
      <c r="H66" s="736" t="s">
        <v>660</v>
      </c>
      <c r="I66" s="742">
        <v>0</v>
      </c>
      <c r="J66" s="743">
        <v>41959738989</v>
      </c>
      <c r="K66" s="744">
        <v>0.27561999999999998</v>
      </c>
      <c r="L66" s="745" t="s">
        <v>127</v>
      </c>
      <c r="M66" s="740" t="s">
        <v>661</v>
      </c>
      <c r="N66" s="735"/>
      <c r="O66" s="746" t="s">
        <v>86</v>
      </c>
      <c r="P66" s="448">
        <f>W91</f>
        <v>6614.5000000000045</v>
      </c>
      <c r="Q66" s="747">
        <v>16301080658</v>
      </c>
      <c r="R66" s="748">
        <f t="shared" ref="R66:R80" si="25">Q66/$Q$81</f>
        <v>0.10726153388129392</v>
      </c>
      <c r="S66" s="749" t="s">
        <v>662</v>
      </c>
      <c r="T66" s="750" t="s">
        <v>663</v>
      </c>
    </row>
    <row r="67" spans="1:20" ht="14.25" customHeight="1">
      <c r="A67" s="736" t="s">
        <v>664</v>
      </c>
      <c r="B67" s="737">
        <v>0</v>
      </c>
      <c r="C67" s="738">
        <v>25587526511</v>
      </c>
      <c r="D67" s="739">
        <v>0.21</v>
      </c>
      <c r="E67" s="737" t="s">
        <v>127</v>
      </c>
      <c r="F67" s="740" t="s">
        <v>665</v>
      </c>
      <c r="G67" s="741"/>
      <c r="H67" s="736" t="s">
        <v>664</v>
      </c>
      <c r="I67" s="742">
        <v>0</v>
      </c>
      <c r="J67" s="743">
        <v>39367393081</v>
      </c>
      <c r="K67" s="744">
        <v>0.25858999999999999</v>
      </c>
      <c r="L67" s="745" t="s">
        <v>127</v>
      </c>
      <c r="M67" s="740" t="s">
        <v>665</v>
      </c>
      <c r="N67" s="735"/>
      <c r="O67" s="457" t="s">
        <v>231</v>
      </c>
      <c r="P67" s="457">
        <v>0</v>
      </c>
      <c r="Q67" s="751">
        <v>49515000000</v>
      </c>
      <c r="R67" s="752">
        <f t="shared" si="25"/>
        <v>0.32580998533528444</v>
      </c>
      <c r="S67" s="426" t="s">
        <v>127</v>
      </c>
      <c r="T67" s="753" t="s">
        <v>666</v>
      </c>
    </row>
    <row r="68" spans="1:20" ht="14.25" customHeight="1">
      <c r="A68" s="736" t="s">
        <v>598</v>
      </c>
      <c r="B68" s="754">
        <v>4140</v>
      </c>
      <c r="C68" s="738">
        <v>14978136314</v>
      </c>
      <c r="D68" s="739">
        <v>0.12</v>
      </c>
      <c r="E68" s="737" t="s">
        <v>123</v>
      </c>
      <c r="F68" s="740" t="s">
        <v>667</v>
      </c>
      <c r="G68" s="741"/>
      <c r="H68" s="755" t="s">
        <v>598</v>
      </c>
      <c r="I68" s="756">
        <v>5217</v>
      </c>
      <c r="J68" s="757">
        <v>15935039551</v>
      </c>
      <c r="K68" s="758">
        <v>0.10467</v>
      </c>
      <c r="L68" s="759" t="s">
        <v>123</v>
      </c>
      <c r="M68" s="760" t="s">
        <v>667</v>
      </c>
      <c r="N68" s="761"/>
      <c r="O68" s="457" t="s">
        <v>660</v>
      </c>
      <c r="P68" s="457">
        <v>0</v>
      </c>
      <c r="Q68" s="751">
        <v>42328000000</v>
      </c>
      <c r="R68" s="752">
        <f t="shared" si="25"/>
        <v>0.27851933877152213</v>
      </c>
      <c r="S68" s="426" t="s">
        <v>127</v>
      </c>
      <c r="T68" s="762" t="s">
        <v>668</v>
      </c>
    </row>
    <row r="69" spans="1:20" ht="14.25" customHeight="1">
      <c r="A69" s="736" t="s">
        <v>669</v>
      </c>
      <c r="B69" s="737">
        <v>0</v>
      </c>
      <c r="C69" s="738">
        <v>8914134428</v>
      </c>
      <c r="D69" s="739">
        <v>7.0000000000000007E-2</v>
      </c>
      <c r="E69" s="737" t="s">
        <v>127</v>
      </c>
      <c r="F69" s="740" t="s">
        <v>670</v>
      </c>
      <c r="G69" s="741"/>
      <c r="H69" s="736" t="s">
        <v>669</v>
      </c>
      <c r="I69" s="742">
        <v>0</v>
      </c>
      <c r="J69" s="743">
        <v>12055030464</v>
      </c>
      <c r="K69" s="744">
        <v>7.918E-2</v>
      </c>
      <c r="L69" s="745" t="s">
        <v>127</v>
      </c>
      <c r="M69" s="740" t="s">
        <v>670</v>
      </c>
      <c r="N69" s="735"/>
      <c r="O69" s="457" t="s">
        <v>669</v>
      </c>
      <c r="P69" s="457">
        <v>0</v>
      </c>
      <c r="Q69" s="751">
        <v>12055000000</v>
      </c>
      <c r="R69" s="752">
        <f t="shared" si="25"/>
        <v>7.9322212929755706E-2</v>
      </c>
      <c r="S69" s="426" t="s">
        <v>127</v>
      </c>
      <c r="T69" s="762" t="s">
        <v>671</v>
      </c>
    </row>
    <row r="70" spans="1:20" ht="14.25" customHeight="1">
      <c r="A70" s="736" t="s">
        <v>672</v>
      </c>
      <c r="B70" s="737">
        <v>0</v>
      </c>
      <c r="C70" s="738">
        <v>7644192281</v>
      </c>
      <c r="D70" s="739">
        <v>0.06</v>
      </c>
      <c r="E70" s="737" t="s">
        <v>127</v>
      </c>
      <c r="F70" s="763" t="s">
        <v>670</v>
      </c>
      <c r="G70" s="733"/>
      <c r="H70" s="736" t="s">
        <v>672</v>
      </c>
      <c r="I70" s="742">
        <v>0</v>
      </c>
      <c r="J70" s="743">
        <v>10150638363</v>
      </c>
      <c r="K70" s="744">
        <v>6.6680000000000003E-2</v>
      </c>
      <c r="L70" s="745" t="s">
        <v>127</v>
      </c>
      <c r="M70" s="740" t="s">
        <v>670</v>
      </c>
      <c r="N70" s="735"/>
      <c r="O70" s="457" t="s">
        <v>673</v>
      </c>
      <c r="P70" s="457">
        <v>0</v>
      </c>
      <c r="Q70" s="751">
        <v>6996000098.9699993</v>
      </c>
      <c r="R70" s="752">
        <f t="shared" si="25"/>
        <v>4.603386225691334E-2</v>
      </c>
      <c r="S70" s="426" t="s">
        <v>127</v>
      </c>
      <c r="T70" s="762" t="s">
        <v>674</v>
      </c>
    </row>
    <row r="71" spans="1:20" ht="14.25" customHeight="1">
      <c r="A71" s="736" t="s">
        <v>675</v>
      </c>
      <c r="B71" s="737">
        <v>0</v>
      </c>
      <c r="C71" s="738">
        <v>6689289021</v>
      </c>
      <c r="D71" s="739">
        <v>0.05</v>
      </c>
      <c r="E71" s="745" t="s">
        <v>127</v>
      </c>
      <c r="F71" s="740" t="s">
        <v>676</v>
      </c>
      <c r="G71" s="484"/>
      <c r="H71" s="736" t="s">
        <v>675</v>
      </c>
      <c r="I71" s="742">
        <v>0</v>
      </c>
      <c r="J71" s="743">
        <v>6184628640</v>
      </c>
      <c r="K71" s="744">
        <v>4.0620000000000003E-2</v>
      </c>
      <c r="L71" s="745" t="s">
        <v>127</v>
      </c>
      <c r="M71" s="740" t="s">
        <v>676</v>
      </c>
      <c r="N71" s="735"/>
      <c r="O71" s="457" t="s">
        <v>675</v>
      </c>
      <c r="P71" s="457">
        <v>0</v>
      </c>
      <c r="Q71" s="751">
        <v>5938000625.184</v>
      </c>
      <c r="R71" s="752">
        <f t="shared" si="25"/>
        <v>3.9072198255318769E-2</v>
      </c>
      <c r="S71" s="426" t="s">
        <v>127</v>
      </c>
      <c r="T71" s="762" t="s">
        <v>676</v>
      </c>
    </row>
    <row r="72" spans="1:20" ht="14.25" customHeight="1">
      <c r="A72" s="736" t="s">
        <v>677</v>
      </c>
      <c r="B72" s="737">
        <v>0</v>
      </c>
      <c r="C72" s="738">
        <v>4901205119</v>
      </c>
      <c r="D72" s="739">
        <v>0.04</v>
      </c>
      <c r="E72" s="745" t="s">
        <v>127</v>
      </c>
      <c r="F72" s="740" t="s">
        <v>674</v>
      </c>
      <c r="G72" s="764"/>
      <c r="H72" s="736" t="s">
        <v>678</v>
      </c>
      <c r="I72" s="742">
        <v>0</v>
      </c>
      <c r="J72" s="743">
        <v>4926643141</v>
      </c>
      <c r="K72" s="744">
        <v>3.236E-2</v>
      </c>
      <c r="L72" s="745" t="s">
        <v>127</v>
      </c>
      <c r="M72" s="740" t="s">
        <v>679</v>
      </c>
      <c r="N72" s="735"/>
      <c r="O72" s="457" t="s">
        <v>680</v>
      </c>
      <c r="P72" s="457">
        <v>0</v>
      </c>
      <c r="Q72" s="751">
        <v>6417000000</v>
      </c>
      <c r="R72" s="752">
        <f t="shared" si="25"/>
        <v>4.2224026575714835E-2</v>
      </c>
      <c r="S72" s="426" t="s">
        <v>127</v>
      </c>
      <c r="T72" s="762" t="s">
        <v>681</v>
      </c>
    </row>
    <row r="73" spans="1:20" ht="14.25" customHeight="1">
      <c r="A73" s="736" t="s">
        <v>678</v>
      </c>
      <c r="B73" s="737">
        <v>0</v>
      </c>
      <c r="C73" s="738">
        <v>3718276567</v>
      </c>
      <c r="D73" s="739">
        <v>0.03</v>
      </c>
      <c r="E73" s="745" t="s">
        <v>127</v>
      </c>
      <c r="F73" s="740" t="s">
        <v>679</v>
      </c>
      <c r="G73" s="764"/>
      <c r="H73" s="736" t="s">
        <v>677</v>
      </c>
      <c r="I73" s="742">
        <v>0</v>
      </c>
      <c r="J73" s="743">
        <v>4228299549</v>
      </c>
      <c r="K73" s="744">
        <v>2.777E-2</v>
      </c>
      <c r="L73" s="745" t="s">
        <v>127</v>
      </c>
      <c r="M73" s="740" t="s">
        <v>674</v>
      </c>
      <c r="N73" s="735"/>
      <c r="O73" s="457" t="s">
        <v>682</v>
      </c>
      <c r="P73" s="457">
        <v>0</v>
      </c>
      <c r="Q73" s="751">
        <v>3945000479.1489997</v>
      </c>
      <c r="R73" s="752">
        <f t="shared" si="25"/>
        <v>2.5958205559107859E-2</v>
      </c>
      <c r="S73" s="426" t="s">
        <v>127</v>
      </c>
      <c r="T73" s="762" t="s">
        <v>681</v>
      </c>
    </row>
    <row r="74" spans="1:20" ht="14.25" customHeight="1">
      <c r="A74" s="736" t="s">
        <v>683</v>
      </c>
      <c r="B74" s="737">
        <v>0</v>
      </c>
      <c r="C74" s="738">
        <v>3579779620</v>
      </c>
      <c r="D74" s="739">
        <v>0.03</v>
      </c>
      <c r="E74" s="745" t="s">
        <v>127</v>
      </c>
      <c r="F74" s="740" t="s">
        <v>684</v>
      </c>
      <c r="G74" s="764"/>
      <c r="H74" s="736" t="s">
        <v>685</v>
      </c>
      <c r="I74" s="742">
        <v>0</v>
      </c>
      <c r="J74" s="743">
        <v>3478037259</v>
      </c>
      <c r="K74" s="744">
        <v>2.2849999999999999E-2</v>
      </c>
      <c r="L74" s="745" t="s">
        <v>127</v>
      </c>
      <c r="M74" s="740" t="s">
        <v>686</v>
      </c>
      <c r="N74" s="735"/>
      <c r="O74" s="457" t="s">
        <v>685</v>
      </c>
      <c r="P74" s="457">
        <v>0</v>
      </c>
      <c r="Q74" s="751">
        <v>3524000593.152</v>
      </c>
      <c r="R74" s="752">
        <f t="shared" si="25"/>
        <v>2.3188015380720725E-2</v>
      </c>
      <c r="S74" s="426" t="s">
        <v>127</v>
      </c>
      <c r="T74" s="762" t="s">
        <v>687</v>
      </c>
    </row>
    <row r="75" spans="1:20" ht="14.25" customHeight="1">
      <c r="A75" s="736" t="s">
        <v>688</v>
      </c>
      <c r="B75" s="737">
        <v>0</v>
      </c>
      <c r="C75" s="738">
        <v>1805295166</v>
      </c>
      <c r="D75" s="739">
        <v>0.01</v>
      </c>
      <c r="E75" s="737" t="s">
        <v>127</v>
      </c>
      <c r="F75" s="740" t="s">
        <v>661</v>
      </c>
      <c r="G75" s="642"/>
      <c r="H75" s="736" t="s">
        <v>683</v>
      </c>
      <c r="I75" s="742">
        <v>0</v>
      </c>
      <c r="J75" s="743">
        <v>3149891560</v>
      </c>
      <c r="K75" s="744">
        <v>2.069E-2</v>
      </c>
      <c r="L75" s="745" t="s">
        <v>127</v>
      </c>
      <c r="M75" s="740" t="s">
        <v>684</v>
      </c>
      <c r="N75" s="735"/>
      <c r="O75" s="457" t="s">
        <v>688</v>
      </c>
      <c r="P75" s="457">
        <v>0</v>
      </c>
      <c r="Q75" s="751">
        <v>2395000000</v>
      </c>
      <c r="R75" s="752">
        <f t="shared" si="25"/>
        <v>1.5759162170615092E-2</v>
      </c>
      <c r="S75" s="426" t="s">
        <v>127</v>
      </c>
      <c r="T75" s="762" t="s">
        <v>687</v>
      </c>
    </row>
    <row r="76" spans="1:20" ht="14.25" customHeight="1">
      <c r="A76" s="736" t="s">
        <v>20</v>
      </c>
      <c r="B76" s="737">
        <v>0</v>
      </c>
      <c r="C76" s="738">
        <v>1753316608</v>
      </c>
      <c r="D76" s="739">
        <v>0.01</v>
      </c>
      <c r="E76" s="737" t="s">
        <v>127</v>
      </c>
      <c r="F76" s="740" t="s">
        <v>689</v>
      </c>
      <c r="G76" s="642"/>
      <c r="H76" s="736" t="s">
        <v>688</v>
      </c>
      <c r="I76" s="742">
        <v>0</v>
      </c>
      <c r="J76" s="743">
        <v>2642593692</v>
      </c>
      <c r="K76" s="744">
        <v>1.736E-2</v>
      </c>
      <c r="L76" s="745" t="s">
        <v>127</v>
      </c>
      <c r="M76" s="740" t="s">
        <v>661</v>
      </c>
      <c r="N76" s="735"/>
      <c r="O76" s="457" t="s">
        <v>690</v>
      </c>
      <c r="P76" s="457">
        <v>0</v>
      </c>
      <c r="Q76" s="751">
        <v>1738000000</v>
      </c>
      <c r="R76" s="752">
        <f t="shared" si="25"/>
        <v>1.1436085115878509E-2</v>
      </c>
      <c r="S76" s="426" t="s">
        <v>127</v>
      </c>
      <c r="T76" s="762" t="s">
        <v>691</v>
      </c>
    </row>
    <row r="77" spans="1:20" ht="14.25" customHeight="1">
      <c r="A77" s="736" t="s">
        <v>685</v>
      </c>
      <c r="B77" s="737">
        <v>0</v>
      </c>
      <c r="C77" s="738">
        <v>1668324684</v>
      </c>
      <c r="D77" s="739">
        <v>0.01</v>
      </c>
      <c r="E77" s="737" t="s">
        <v>127</v>
      </c>
      <c r="F77" s="740" t="s">
        <v>670</v>
      </c>
      <c r="G77" s="642"/>
      <c r="H77" s="736" t="s">
        <v>20</v>
      </c>
      <c r="I77" s="742">
        <v>0</v>
      </c>
      <c r="J77" s="743">
        <v>2512055231</v>
      </c>
      <c r="K77" s="744">
        <v>1.6500000000000001E-2</v>
      </c>
      <c r="L77" s="745" t="s">
        <v>127</v>
      </c>
      <c r="M77" s="740" t="s">
        <v>689</v>
      </c>
      <c r="N77" s="735"/>
      <c r="O77" s="457" t="s">
        <v>95</v>
      </c>
      <c r="P77" s="457">
        <v>0</v>
      </c>
      <c r="Q77" s="751">
        <v>3008000684.2480001</v>
      </c>
      <c r="R77" s="752">
        <f t="shared" si="25"/>
        <v>1.9792722585547137E-2</v>
      </c>
      <c r="S77" s="426" t="s">
        <v>127</v>
      </c>
      <c r="T77" s="762" t="s">
        <v>687</v>
      </c>
    </row>
    <row r="78" spans="1:20" ht="14.25" customHeight="1">
      <c r="A78" s="736" t="s">
        <v>692</v>
      </c>
      <c r="B78" s="737">
        <v>0</v>
      </c>
      <c r="C78" s="738">
        <v>928191981</v>
      </c>
      <c r="D78" s="739">
        <v>0.01</v>
      </c>
      <c r="E78" s="745" t="s">
        <v>127</v>
      </c>
      <c r="F78" s="740" t="s">
        <v>693</v>
      </c>
      <c r="G78" s="764"/>
      <c r="H78" s="736" t="s">
        <v>692</v>
      </c>
      <c r="I78" s="742">
        <v>0</v>
      </c>
      <c r="J78" s="743">
        <v>1570435687</v>
      </c>
      <c r="K78" s="744">
        <v>1.0319999999999999E-2</v>
      </c>
      <c r="L78" s="745" t="s">
        <v>127</v>
      </c>
      <c r="M78" s="740" t="s">
        <v>693</v>
      </c>
      <c r="N78" s="735"/>
      <c r="O78" s="457" t="s">
        <v>694</v>
      </c>
      <c r="P78" s="457">
        <v>0</v>
      </c>
      <c r="Q78" s="751">
        <v>1570000435.687</v>
      </c>
      <c r="R78" s="752">
        <f t="shared" si="25"/>
        <v>1.0330643621681746E-2</v>
      </c>
      <c r="S78" s="426" t="s">
        <v>127</v>
      </c>
      <c r="T78" s="762" t="s">
        <v>695</v>
      </c>
    </row>
    <row r="79" spans="1:20" ht="14.25" customHeight="1">
      <c r="A79" s="736" t="s">
        <v>95</v>
      </c>
      <c r="B79" s="737">
        <v>0</v>
      </c>
      <c r="C79" s="738">
        <v>769344632</v>
      </c>
      <c r="D79" s="739">
        <v>0.01</v>
      </c>
      <c r="E79" s="745" t="s">
        <v>127</v>
      </c>
      <c r="F79" s="740" t="s">
        <v>696</v>
      </c>
      <c r="G79" s="764"/>
      <c r="H79" s="736" t="s">
        <v>697</v>
      </c>
      <c r="I79" s="742">
        <v>0</v>
      </c>
      <c r="J79" s="743">
        <v>1477000000</v>
      </c>
      <c r="K79" s="744">
        <v>9.7000000000000003E-3</v>
      </c>
      <c r="L79" s="745" t="s">
        <v>127</v>
      </c>
      <c r="M79" s="740" t="s">
        <v>698</v>
      </c>
      <c r="N79" s="735"/>
      <c r="O79" s="457" t="s">
        <v>699</v>
      </c>
      <c r="P79" s="457">
        <v>0</v>
      </c>
      <c r="Q79" s="751">
        <v>932000765.16799998</v>
      </c>
      <c r="R79" s="752">
        <f t="shared" si="25"/>
        <v>6.1325892281502564E-3</v>
      </c>
      <c r="S79" s="426" t="s">
        <v>127</v>
      </c>
      <c r="T79" s="762" t="s">
        <v>700</v>
      </c>
    </row>
    <row r="80" spans="1:20" ht="14.25" customHeight="1">
      <c r="A80" s="736" t="s">
        <v>699</v>
      </c>
      <c r="B80" s="737">
        <v>0</v>
      </c>
      <c r="C80" s="738">
        <v>538212815</v>
      </c>
      <c r="D80" s="739">
        <v>0</v>
      </c>
      <c r="E80" s="745" t="s">
        <v>127</v>
      </c>
      <c r="F80" s="740" t="s">
        <v>701</v>
      </c>
      <c r="G80" s="764"/>
      <c r="H80" s="736" t="s">
        <v>95</v>
      </c>
      <c r="I80" s="742">
        <v>0</v>
      </c>
      <c r="J80" s="743">
        <v>1056679791</v>
      </c>
      <c r="K80" s="744">
        <v>6.94E-3</v>
      </c>
      <c r="L80" s="745" t="s">
        <v>127</v>
      </c>
      <c r="M80" s="740" t="s">
        <v>696</v>
      </c>
      <c r="N80" s="735"/>
      <c r="O80" s="457" t="s">
        <v>702</v>
      </c>
      <c r="P80" s="457">
        <v>0</v>
      </c>
      <c r="Q80" s="751">
        <v>-4687000000</v>
      </c>
      <c r="R80" s="752">
        <f t="shared" si="25"/>
        <v>-3.0840581667504353E-2</v>
      </c>
      <c r="S80" s="426" t="s">
        <v>127</v>
      </c>
      <c r="T80" s="762" t="s">
        <v>691</v>
      </c>
    </row>
    <row r="81" spans="1:24" ht="14.25" customHeight="1">
      <c r="A81" s="736" t="s">
        <v>94</v>
      </c>
      <c r="B81" s="737">
        <v>0</v>
      </c>
      <c r="C81" s="738">
        <v>437258093</v>
      </c>
      <c r="D81" s="739">
        <v>0</v>
      </c>
      <c r="E81" s="745" t="s">
        <v>127</v>
      </c>
      <c r="F81" s="740" t="s">
        <v>703</v>
      </c>
      <c r="G81" s="764"/>
      <c r="H81" s="736" t="s">
        <v>699</v>
      </c>
      <c r="I81" s="742">
        <v>0</v>
      </c>
      <c r="J81" s="743">
        <v>932765168</v>
      </c>
      <c r="K81" s="744">
        <v>6.13E-3</v>
      </c>
      <c r="L81" s="745" t="s">
        <v>127</v>
      </c>
      <c r="M81" s="740" t="s">
        <v>701</v>
      </c>
      <c r="N81" s="764"/>
      <c r="O81" s="450" t="s">
        <v>704</v>
      </c>
      <c r="P81" s="450"/>
      <c r="Q81" s="765">
        <f t="shared" ref="Q81:R81" si="26">SUM(Q66:Q80)</f>
        <v>151975084339.55798</v>
      </c>
      <c r="R81" s="766">
        <f t="shared" si="26"/>
        <v>1</v>
      </c>
      <c r="S81" s="450"/>
      <c r="T81" s="450"/>
      <c r="U81" s="431"/>
      <c r="V81" s="431"/>
      <c r="W81" s="431"/>
      <c r="X81" s="654"/>
    </row>
    <row r="82" spans="1:24" ht="14.25" customHeight="1">
      <c r="A82" s="736" t="s">
        <v>705</v>
      </c>
      <c r="B82" s="737">
        <v>0</v>
      </c>
      <c r="C82" s="738">
        <v>293906701</v>
      </c>
      <c r="D82" s="739">
        <v>0</v>
      </c>
      <c r="E82" s="745" t="s">
        <v>127</v>
      </c>
      <c r="F82" s="740" t="s">
        <v>706</v>
      </c>
      <c r="G82" s="764"/>
      <c r="H82" s="736" t="s">
        <v>94</v>
      </c>
      <c r="I82" s="742">
        <v>0</v>
      </c>
      <c r="J82" s="743">
        <v>405401935</v>
      </c>
      <c r="K82" s="744">
        <v>2.66E-3</v>
      </c>
      <c r="L82" s="745" t="s">
        <v>127</v>
      </c>
      <c r="M82" s="740" t="s">
        <v>703</v>
      </c>
      <c r="N82" s="764"/>
      <c r="O82" s="431" t="s">
        <v>704</v>
      </c>
      <c r="P82" s="431"/>
      <c r="Q82" s="431"/>
      <c r="R82" s="431"/>
      <c r="S82" s="431"/>
      <c r="T82" s="431"/>
      <c r="U82" s="431"/>
      <c r="V82" s="431"/>
      <c r="W82" s="431"/>
      <c r="X82" s="654"/>
    </row>
    <row r="83" spans="1:24" ht="14.25" customHeight="1">
      <c r="A83" s="736" t="s">
        <v>697</v>
      </c>
      <c r="B83" s="737">
        <v>0</v>
      </c>
      <c r="C83" s="738">
        <v>186978000</v>
      </c>
      <c r="D83" s="739">
        <v>0</v>
      </c>
      <c r="E83" s="745" t="s">
        <v>127</v>
      </c>
      <c r="F83" s="740" t="s">
        <v>698</v>
      </c>
      <c r="G83" s="764"/>
      <c r="H83" s="736" t="s">
        <v>705</v>
      </c>
      <c r="I83" s="742">
        <v>0</v>
      </c>
      <c r="J83" s="743">
        <v>193509093</v>
      </c>
      <c r="K83" s="744">
        <v>1.2700000000000001E-3</v>
      </c>
      <c r="L83" s="745" t="s">
        <v>127</v>
      </c>
      <c r="M83" s="740" t="s">
        <v>706</v>
      </c>
      <c r="N83" s="764"/>
      <c r="O83" s="431" t="s">
        <v>704</v>
      </c>
      <c r="P83" s="431"/>
      <c r="Q83" s="431"/>
      <c r="R83" s="431"/>
      <c r="S83" s="431"/>
      <c r="T83" s="431"/>
      <c r="U83" s="431"/>
      <c r="V83" s="431"/>
      <c r="W83" s="431"/>
      <c r="X83" s="654"/>
    </row>
    <row r="84" spans="1:24" ht="14.25" customHeight="1">
      <c r="A84" s="736" t="s">
        <v>707</v>
      </c>
      <c r="B84" s="737">
        <v>0</v>
      </c>
      <c r="C84" s="738">
        <v>4250932</v>
      </c>
      <c r="D84" s="739">
        <v>0</v>
      </c>
      <c r="E84" s="745" t="s">
        <v>127</v>
      </c>
      <c r="F84" s="740" t="s">
        <v>686</v>
      </c>
      <c r="G84" s="764"/>
      <c r="H84" s="736" t="s">
        <v>690</v>
      </c>
      <c r="I84" s="742">
        <v>0</v>
      </c>
      <c r="J84" s="743">
        <v>7981776</v>
      </c>
      <c r="K84" s="744">
        <v>5.0000000000000002E-5</v>
      </c>
      <c r="L84" s="745" t="s">
        <v>127</v>
      </c>
      <c r="M84" s="740" t="s">
        <v>686</v>
      </c>
      <c r="N84" s="764"/>
      <c r="O84" s="431" t="s">
        <v>708</v>
      </c>
      <c r="P84" s="431"/>
      <c r="Q84" s="431"/>
      <c r="R84" s="431"/>
      <c r="S84" s="431"/>
      <c r="T84" s="431"/>
      <c r="U84" s="431"/>
      <c r="V84" s="431"/>
      <c r="W84" s="431"/>
      <c r="X84" s="654"/>
    </row>
    <row r="85" spans="1:24" ht="14.25" customHeight="1">
      <c r="A85" s="736" t="s">
        <v>690</v>
      </c>
      <c r="B85" s="737">
        <v>0</v>
      </c>
      <c r="C85" s="738">
        <v>-19070436</v>
      </c>
      <c r="D85" s="739">
        <v>0</v>
      </c>
      <c r="E85" s="745" t="s">
        <v>127</v>
      </c>
      <c r="F85" s="740" t="s">
        <v>686</v>
      </c>
      <c r="G85" s="764"/>
      <c r="H85" s="736" t="s">
        <v>707</v>
      </c>
      <c r="I85" s="742">
        <v>0</v>
      </c>
      <c r="J85" s="743">
        <v>6347174</v>
      </c>
      <c r="K85" s="744">
        <v>4.0000000000000003E-5</v>
      </c>
      <c r="L85" s="745" t="s">
        <v>127</v>
      </c>
      <c r="M85" s="740" t="s">
        <v>686</v>
      </c>
      <c r="N85" s="764"/>
      <c r="O85" s="431" t="s">
        <v>704</v>
      </c>
      <c r="P85" s="431"/>
      <c r="Q85" s="431"/>
      <c r="R85" s="431"/>
      <c r="S85" s="431"/>
      <c r="T85" s="431"/>
      <c r="U85" s="431"/>
      <c r="V85" s="431"/>
      <c r="W85" s="431"/>
      <c r="X85" s="654"/>
    </row>
    <row r="86" spans="1:24" ht="14.25" customHeight="1">
      <c r="A86" s="444"/>
      <c r="B86" s="444">
        <f t="shared" ref="B86:D86" si="27">SUM(B66:B85)</f>
        <v>4140</v>
      </c>
      <c r="C86" s="726">
        <f t="shared" si="27"/>
        <v>124476621581</v>
      </c>
      <c r="D86" s="767">
        <f t="shared" si="27"/>
        <v>0.9800000000000002</v>
      </c>
      <c r="E86" s="444"/>
      <c r="F86" s="444"/>
      <c r="G86" s="444"/>
      <c r="H86" s="768" t="s">
        <v>87</v>
      </c>
      <c r="I86" s="444">
        <f t="shared" ref="I86:K86" si="28">SUM(I66:I85)</f>
        <v>5217</v>
      </c>
      <c r="J86" s="769">
        <f t="shared" si="28"/>
        <v>152240110144</v>
      </c>
      <c r="K86" s="770">
        <f t="shared" si="28"/>
        <v>1</v>
      </c>
      <c r="L86" s="745"/>
      <c r="M86" s="740"/>
      <c r="N86" s="764"/>
      <c r="O86" s="431"/>
      <c r="P86" s="431"/>
      <c r="Q86" s="431"/>
      <c r="R86" s="431"/>
      <c r="S86" s="431"/>
      <c r="T86" s="431"/>
      <c r="U86" s="431"/>
      <c r="V86" s="431"/>
      <c r="W86" s="431"/>
      <c r="X86" s="654"/>
    </row>
    <row r="87" spans="1:24" ht="14.25" customHeight="1">
      <c r="A87" s="444"/>
      <c r="B87" s="444"/>
      <c r="C87" s="444"/>
      <c r="D87" s="444"/>
      <c r="E87" s="444"/>
      <c r="F87" s="444"/>
      <c r="G87" s="444"/>
      <c r="H87" s="444"/>
      <c r="I87" s="444"/>
      <c r="J87" s="666"/>
      <c r="K87" s="444"/>
      <c r="L87" s="431"/>
      <c r="M87" s="591"/>
      <c r="N87" s="431"/>
      <c r="O87" s="431"/>
      <c r="P87" s="431"/>
      <c r="Q87" s="431"/>
      <c r="R87" s="431"/>
      <c r="S87" s="431"/>
      <c r="T87" s="431"/>
      <c r="U87" s="431"/>
      <c r="V87" s="431"/>
      <c r="W87" s="431"/>
      <c r="X87" s="654"/>
    </row>
    <row r="88" spans="1:24" ht="14.25" customHeight="1">
      <c r="A88" s="444"/>
      <c r="B88" s="444"/>
      <c r="C88" s="444"/>
      <c r="D88" s="444"/>
      <c r="E88" s="444"/>
      <c r="F88" s="444"/>
      <c r="G88" s="444"/>
      <c r="H88" s="444"/>
      <c r="I88" s="444"/>
      <c r="J88" s="666"/>
      <c r="K88" s="444"/>
      <c r="L88" s="431"/>
      <c r="M88" s="591"/>
      <c r="N88" s="431"/>
      <c r="O88" s="431"/>
      <c r="P88" s="431"/>
      <c r="Q88" s="431"/>
      <c r="R88" s="431"/>
      <c r="S88" s="431"/>
      <c r="T88" s="431"/>
      <c r="U88" s="431"/>
      <c r="V88" s="431"/>
      <c r="W88" s="431"/>
      <c r="X88" s="654"/>
    </row>
    <row r="89" spans="1:24" ht="14.25" customHeight="1">
      <c r="A89" s="444"/>
      <c r="B89" s="444"/>
      <c r="C89" s="444"/>
      <c r="D89" s="444"/>
      <c r="E89" s="444"/>
      <c r="F89" s="444"/>
      <c r="G89" s="444"/>
      <c r="H89" s="444"/>
      <c r="I89" s="444"/>
      <c r="J89" s="666"/>
      <c r="K89" s="444"/>
      <c r="L89" s="431"/>
      <c r="M89" s="591"/>
      <c r="N89" s="431"/>
      <c r="O89" s="431"/>
      <c r="P89" s="431"/>
      <c r="Q89" s="431"/>
      <c r="R89" s="431"/>
      <c r="S89" s="431"/>
      <c r="T89" s="431"/>
      <c r="U89" s="431"/>
      <c r="V89" s="431"/>
      <c r="W89" s="431"/>
      <c r="X89" s="654"/>
    </row>
    <row r="90" spans="1:24" ht="14.25" customHeight="1">
      <c r="A90" s="444"/>
      <c r="B90" s="444"/>
      <c r="C90" s="444"/>
      <c r="D90" s="444"/>
      <c r="E90" s="444"/>
      <c r="F90" s="444"/>
      <c r="G90" s="444"/>
      <c r="H90" s="444"/>
      <c r="I90" s="591"/>
      <c r="J90" s="431"/>
      <c r="K90" s="431"/>
      <c r="L90" s="653"/>
      <c r="M90" s="661"/>
      <c r="N90" s="431"/>
      <c r="O90" s="466"/>
      <c r="P90" s="431"/>
      <c r="Q90" s="444"/>
      <c r="R90" s="444"/>
      <c r="S90" s="444"/>
      <c r="T90" s="444"/>
      <c r="U90" s="444"/>
      <c r="V90" s="771"/>
      <c r="W90" s="772">
        <f>W91-O91</f>
        <v>1397.4000000000024</v>
      </c>
      <c r="X90" s="654"/>
    </row>
    <row r="91" spans="1:24" ht="14.25" customHeight="1">
      <c r="A91" s="1502">
        <v>2022</v>
      </c>
      <c r="B91" s="1415"/>
      <c r="C91" s="1415"/>
      <c r="D91" s="1415"/>
      <c r="E91" s="773">
        <f>+SUM(E93:E167)</f>
        <v>14978136314</v>
      </c>
      <c r="F91" s="773">
        <f>-SUM(F93:F167)</f>
        <v>17152518.144902039</v>
      </c>
      <c r="G91" s="774">
        <f>+SUM(G93:G167)</f>
        <v>4140.2040331628741</v>
      </c>
      <c r="H91" s="775"/>
      <c r="I91" s="1503" t="s">
        <v>709</v>
      </c>
      <c r="J91" s="1451"/>
      <c r="K91" s="1451"/>
      <c r="L91" s="1451"/>
      <c r="M91" s="776">
        <f t="shared" ref="M91:O91" si="29">SUM(M93:M167)</f>
        <v>15935039551</v>
      </c>
      <c r="N91" s="776">
        <f t="shared" si="29"/>
        <v>21276271</v>
      </c>
      <c r="O91" s="777">
        <f t="shared" si="29"/>
        <v>5217.1000000000022</v>
      </c>
      <c r="P91" s="778"/>
      <c r="Q91" s="1504" t="s">
        <v>710</v>
      </c>
      <c r="R91" s="1392"/>
      <c r="S91" s="1392"/>
      <c r="T91" s="1393"/>
      <c r="U91" s="772">
        <f t="shared" ref="U91:W91" si="30">SUM(U93:U215)</f>
        <v>16318682496</v>
      </c>
      <c r="V91" s="779">
        <f t="shared" si="30"/>
        <v>21477049.619999997</v>
      </c>
      <c r="W91" s="772">
        <f t="shared" si="30"/>
        <v>6614.5000000000045</v>
      </c>
      <c r="X91" s="780" t="s">
        <v>711</v>
      </c>
    </row>
    <row r="92" spans="1:24" ht="14.25" customHeight="1">
      <c r="A92" s="781" t="s">
        <v>712</v>
      </c>
      <c r="B92" s="781" t="s">
        <v>713</v>
      </c>
      <c r="C92" s="781" t="s">
        <v>714</v>
      </c>
      <c r="D92" s="782" t="s">
        <v>715</v>
      </c>
      <c r="E92" s="781" t="s">
        <v>716</v>
      </c>
      <c r="F92" s="781" t="s">
        <v>717</v>
      </c>
      <c r="G92" s="783" t="s">
        <v>437</v>
      </c>
      <c r="H92" s="434"/>
      <c r="I92" s="451" t="s">
        <v>712</v>
      </c>
      <c r="J92" s="451" t="s">
        <v>713</v>
      </c>
      <c r="K92" s="451" t="s">
        <v>714</v>
      </c>
      <c r="L92" s="784" t="s">
        <v>715</v>
      </c>
      <c r="M92" s="451" t="s">
        <v>716</v>
      </c>
      <c r="N92" s="451" t="s">
        <v>717</v>
      </c>
      <c r="O92" s="785" t="s">
        <v>437</v>
      </c>
      <c r="P92" s="445"/>
      <c r="Q92" s="451" t="s">
        <v>712</v>
      </c>
      <c r="R92" s="451" t="s">
        <v>713</v>
      </c>
      <c r="S92" s="451" t="s">
        <v>714</v>
      </c>
      <c r="T92" s="784" t="s">
        <v>715</v>
      </c>
      <c r="U92" s="451" t="s">
        <v>716</v>
      </c>
      <c r="V92" s="451" t="s">
        <v>717</v>
      </c>
      <c r="W92" s="785" t="s">
        <v>437</v>
      </c>
      <c r="X92" s="786"/>
    </row>
    <row r="93" spans="1:24" ht="14.25" customHeight="1">
      <c r="A93" s="787">
        <v>526104</v>
      </c>
      <c r="B93" s="788" t="s">
        <v>718</v>
      </c>
      <c r="C93" s="789" t="s">
        <v>86</v>
      </c>
      <c r="D93" s="790" t="s">
        <v>616</v>
      </c>
      <c r="E93" s="791">
        <v>1539609287</v>
      </c>
      <c r="F93" s="792">
        <v>-1742167.8713586321</v>
      </c>
      <c r="G93" s="793">
        <f>-F93*VLOOKUP(D93,'Factores Emisión EDGE'!$K$168:$L$203,2,FALSE)/1000</f>
        <v>371.64656742328305</v>
      </c>
      <c r="H93" s="531"/>
      <c r="I93" s="794">
        <v>526710</v>
      </c>
      <c r="J93" s="795" t="s">
        <v>719</v>
      </c>
      <c r="K93" s="795" t="s">
        <v>598</v>
      </c>
      <c r="L93" s="796" t="s">
        <v>620</v>
      </c>
      <c r="M93" s="797">
        <v>1422970115</v>
      </c>
      <c r="N93" s="798">
        <v>1913419</v>
      </c>
      <c r="O93" s="799">
        <v>633.37</v>
      </c>
      <c r="P93" s="445">
        <f t="shared" ref="P93:P215" si="31">VLOOKUP(Q93,$I$93:$I$167,1,0)</f>
        <v>526501</v>
      </c>
      <c r="Q93" s="457">
        <v>526501</v>
      </c>
      <c r="R93" s="457" t="s">
        <v>720</v>
      </c>
      <c r="S93" s="457" t="s">
        <v>86</v>
      </c>
      <c r="T93" s="457" t="s">
        <v>606</v>
      </c>
      <c r="U93" s="437">
        <v>1401265776</v>
      </c>
      <c r="V93" s="437">
        <v>1846038</v>
      </c>
      <c r="W93" s="457">
        <v>448.1</v>
      </c>
      <c r="X93" s="654"/>
    </row>
    <row r="94" spans="1:24" ht="14.25" customHeight="1">
      <c r="A94" s="787">
        <v>565601</v>
      </c>
      <c r="B94" s="788" t="s">
        <v>721</v>
      </c>
      <c r="C94" s="789" t="s">
        <v>86</v>
      </c>
      <c r="D94" s="790" t="s">
        <v>603</v>
      </c>
      <c r="E94" s="791">
        <v>1325438043</v>
      </c>
      <c r="F94" s="792">
        <v>-1515701.1200567216</v>
      </c>
      <c r="G94" s="793">
        <f>-F94*VLOOKUP(D94,'Factores Emisión EDGE'!$K$168:$L$203,2,FALSE)/1000</f>
        <v>350.88055017298365</v>
      </c>
      <c r="H94" s="531"/>
      <c r="I94" s="794">
        <v>526501</v>
      </c>
      <c r="J94" s="795" t="s">
        <v>722</v>
      </c>
      <c r="K94" s="795" t="s">
        <v>598</v>
      </c>
      <c r="L94" s="796" t="s">
        <v>606</v>
      </c>
      <c r="M94" s="797">
        <v>1530047367</v>
      </c>
      <c r="N94" s="798">
        <v>2020752</v>
      </c>
      <c r="O94" s="799">
        <v>490.47</v>
      </c>
      <c r="P94" s="445">
        <f t="shared" si="31"/>
        <v>526710</v>
      </c>
      <c r="Q94" s="457">
        <v>526710</v>
      </c>
      <c r="R94" s="457" t="s">
        <v>723</v>
      </c>
      <c r="S94" s="457" t="s">
        <v>86</v>
      </c>
      <c r="T94" s="457" t="s">
        <v>620</v>
      </c>
      <c r="U94" s="437">
        <v>1301403052</v>
      </c>
      <c r="V94" s="437">
        <v>1779174</v>
      </c>
      <c r="W94" s="457">
        <v>585</v>
      </c>
      <c r="X94" s="654"/>
    </row>
    <row r="95" spans="1:24" ht="14.25" customHeight="1">
      <c r="A95" s="787">
        <v>526710</v>
      </c>
      <c r="B95" s="788" t="s">
        <v>719</v>
      </c>
      <c r="C95" s="789" t="s">
        <v>86</v>
      </c>
      <c r="D95" s="790" t="s">
        <v>620</v>
      </c>
      <c r="E95" s="791">
        <v>716546125</v>
      </c>
      <c r="F95" s="792">
        <v>-825732.72503984661</v>
      </c>
      <c r="G95" s="793">
        <f>-F95*VLOOKUP(D95,'Factores Emisión EDGE'!$K$168:$L$203,2,FALSE)/1000</f>
        <v>273.33141255529716</v>
      </c>
      <c r="H95" s="531"/>
      <c r="I95" s="794">
        <v>565601</v>
      </c>
      <c r="J95" s="795" t="s">
        <v>721</v>
      </c>
      <c r="K95" s="795" t="s">
        <v>598</v>
      </c>
      <c r="L95" s="800" t="s">
        <v>603</v>
      </c>
      <c r="M95" s="797">
        <v>1188378574</v>
      </c>
      <c r="N95" s="798">
        <v>1575318</v>
      </c>
      <c r="O95" s="799">
        <v>364.68</v>
      </c>
      <c r="P95" s="445">
        <f t="shared" si="31"/>
        <v>565601</v>
      </c>
      <c r="Q95" s="457">
        <v>565601</v>
      </c>
      <c r="R95" s="457" t="s">
        <v>724</v>
      </c>
      <c r="S95" s="457" t="s">
        <v>86</v>
      </c>
      <c r="T95" s="457" t="s">
        <v>603</v>
      </c>
      <c r="U95" s="437">
        <v>1079619198</v>
      </c>
      <c r="V95" s="437">
        <v>1422298</v>
      </c>
      <c r="W95" s="457">
        <v>329.3</v>
      </c>
      <c r="X95" s="654"/>
    </row>
    <row r="96" spans="1:24" ht="14.25" customHeight="1">
      <c r="A96" s="787">
        <v>526103</v>
      </c>
      <c r="B96" s="788" t="s">
        <v>725</v>
      </c>
      <c r="C96" s="789" t="s">
        <v>86</v>
      </c>
      <c r="D96" s="790" t="s">
        <v>604</v>
      </c>
      <c r="E96" s="791">
        <v>1132508415</v>
      </c>
      <c r="F96" s="792">
        <v>-1266043.7494546652</v>
      </c>
      <c r="G96" s="793">
        <f>-F96*VLOOKUP(D96,'Factores Emisión EDGE'!$K$168:$L$203,2,FALSE)/1000</f>
        <v>261.80021139779484</v>
      </c>
      <c r="H96" s="531"/>
      <c r="I96" s="794">
        <v>526502</v>
      </c>
      <c r="J96" s="795" t="s">
        <v>726</v>
      </c>
      <c r="K96" s="795" t="s">
        <v>598</v>
      </c>
      <c r="L96" s="796" t="s">
        <v>610</v>
      </c>
      <c r="M96" s="797">
        <v>980541648</v>
      </c>
      <c r="N96" s="798">
        <v>1301093</v>
      </c>
      <c r="O96" s="799">
        <v>315.8</v>
      </c>
      <c r="P96" s="445">
        <f t="shared" si="31"/>
        <v>526104</v>
      </c>
      <c r="Q96" s="457">
        <v>526104</v>
      </c>
      <c r="R96" s="457" t="s">
        <v>727</v>
      </c>
      <c r="S96" s="457" t="s">
        <v>86</v>
      </c>
      <c r="T96" s="457" t="s">
        <v>619</v>
      </c>
      <c r="U96" s="437">
        <v>962518568</v>
      </c>
      <c r="V96" s="437">
        <v>1268029</v>
      </c>
      <c r="W96" s="457">
        <v>270.5</v>
      </c>
      <c r="X96" s="654"/>
    </row>
    <row r="97" spans="1:24" ht="14.25" customHeight="1">
      <c r="A97" s="787">
        <v>565201</v>
      </c>
      <c r="B97" s="788" t="s">
        <v>728</v>
      </c>
      <c r="C97" s="789" t="s">
        <v>86</v>
      </c>
      <c r="D97" s="790" t="s">
        <v>616</v>
      </c>
      <c r="E97" s="791">
        <v>1012669661</v>
      </c>
      <c r="F97" s="792">
        <v>-1146861.1092922399</v>
      </c>
      <c r="G97" s="793">
        <f>-F97*VLOOKUP(D97,'Factores Emisión EDGE'!$K$168:$L$203,2,FALSE)/1000</f>
        <v>244.65322865087964</v>
      </c>
      <c r="H97" s="434"/>
      <c r="I97" s="794">
        <v>526104</v>
      </c>
      <c r="J97" s="795" t="s">
        <v>718</v>
      </c>
      <c r="K97" s="795" t="s">
        <v>598</v>
      </c>
      <c r="L97" s="796" t="s">
        <v>616</v>
      </c>
      <c r="M97" s="797">
        <v>1074845826</v>
      </c>
      <c r="N97" s="798">
        <v>1422373</v>
      </c>
      <c r="O97" s="799">
        <v>303.43</v>
      </c>
      <c r="P97" s="445">
        <f t="shared" si="31"/>
        <v>526502</v>
      </c>
      <c r="Q97" s="457">
        <v>526502</v>
      </c>
      <c r="R97" s="457" t="s">
        <v>729</v>
      </c>
      <c r="S97" s="457" t="s">
        <v>86</v>
      </c>
      <c r="T97" s="457" t="s">
        <v>610</v>
      </c>
      <c r="U97" s="437">
        <v>912218843</v>
      </c>
      <c r="V97" s="437">
        <v>1216255</v>
      </c>
      <c r="W97" s="457">
        <v>295.2</v>
      </c>
      <c r="X97" s="654"/>
    </row>
    <row r="98" spans="1:24" ht="14.25" customHeight="1">
      <c r="A98" s="787">
        <v>526553</v>
      </c>
      <c r="B98" s="788" t="s">
        <v>730</v>
      </c>
      <c r="C98" s="789" t="s">
        <v>86</v>
      </c>
      <c r="D98" s="790" t="s">
        <v>615</v>
      </c>
      <c r="E98" s="791">
        <v>611166475</v>
      </c>
      <c r="F98" s="792">
        <v>-687749.50423894508</v>
      </c>
      <c r="G98" s="793">
        <f>-F98*VLOOKUP(D98,'Factores Emisión EDGE'!$K$168:$L$203,2,FALSE)/1000</f>
        <v>238.1783959652029</v>
      </c>
      <c r="H98" s="434"/>
      <c r="I98" s="794">
        <v>526103</v>
      </c>
      <c r="J98" s="795" t="s">
        <v>725</v>
      </c>
      <c r="K98" s="795" t="s">
        <v>598</v>
      </c>
      <c r="L98" s="796" t="s">
        <v>604</v>
      </c>
      <c r="M98" s="797">
        <v>910525063</v>
      </c>
      <c r="N98" s="798">
        <v>1201235</v>
      </c>
      <c r="O98" s="799">
        <v>248.4</v>
      </c>
      <c r="P98" s="445">
        <f t="shared" si="31"/>
        <v>526103</v>
      </c>
      <c r="Q98" s="457">
        <v>526103</v>
      </c>
      <c r="R98" s="457" t="s">
        <v>731</v>
      </c>
      <c r="S98" s="457" t="s">
        <v>86</v>
      </c>
      <c r="T98" s="457" t="s">
        <v>732</v>
      </c>
      <c r="U98" s="437">
        <v>836778661</v>
      </c>
      <c r="V98" s="437">
        <v>1102378</v>
      </c>
      <c r="W98" s="457">
        <v>228</v>
      </c>
      <c r="X98" s="654"/>
    </row>
    <row r="99" spans="1:24" ht="14.25" customHeight="1">
      <c r="A99" s="787">
        <v>526501</v>
      </c>
      <c r="B99" s="788" t="s">
        <v>722</v>
      </c>
      <c r="C99" s="789" t="s">
        <v>86</v>
      </c>
      <c r="D99" s="790" t="s">
        <v>606</v>
      </c>
      <c r="E99" s="791">
        <v>842229158</v>
      </c>
      <c r="F99" s="792">
        <v>-956779.42171399365</v>
      </c>
      <c r="G99" s="793">
        <f>-F99*VLOOKUP(D99,'Factores Emisión EDGE'!$K$168:$L$203,2,FALSE)/1000</f>
        <v>232.2264204086826</v>
      </c>
      <c r="H99" s="434"/>
      <c r="I99" s="794">
        <v>565201</v>
      </c>
      <c r="J99" s="795" t="s">
        <v>728</v>
      </c>
      <c r="K99" s="795" t="s">
        <v>598</v>
      </c>
      <c r="L99" s="796" t="s">
        <v>616</v>
      </c>
      <c r="M99" s="797">
        <v>853406083</v>
      </c>
      <c r="N99" s="798">
        <v>1135151</v>
      </c>
      <c r="O99" s="799">
        <v>242.16</v>
      </c>
      <c r="P99" s="445">
        <f t="shared" si="31"/>
        <v>565201</v>
      </c>
      <c r="Q99" s="457">
        <v>565201</v>
      </c>
      <c r="R99" s="457" t="s">
        <v>727</v>
      </c>
      <c r="S99" s="457" t="s">
        <v>86</v>
      </c>
      <c r="T99" s="457" t="s">
        <v>619</v>
      </c>
      <c r="U99" s="437">
        <v>810792454</v>
      </c>
      <c r="V99" s="437">
        <v>1068144</v>
      </c>
      <c r="W99" s="457">
        <v>227.9</v>
      </c>
      <c r="X99" s="654"/>
    </row>
    <row r="100" spans="1:24" ht="14.25" customHeight="1">
      <c r="A100" s="787">
        <v>526502</v>
      </c>
      <c r="B100" s="788" t="s">
        <v>726</v>
      </c>
      <c r="C100" s="789" t="s">
        <v>86</v>
      </c>
      <c r="D100" s="790" t="s">
        <v>610</v>
      </c>
      <c r="E100" s="791">
        <v>746800557</v>
      </c>
      <c r="F100" s="792">
        <v>-846383.56671613513</v>
      </c>
      <c r="G100" s="793">
        <f>-F100*VLOOKUP(D100,'Factores Emisión EDGE'!$K$168:$L$203,2,FALSE)/1000</f>
        <v>205.43149395825549</v>
      </c>
      <c r="H100" s="434"/>
      <c r="I100" s="794">
        <v>526553</v>
      </c>
      <c r="J100" s="795" t="s">
        <v>730</v>
      </c>
      <c r="K100" s="795" t="s">
        <v>598</v>
      </c>
      <c r="L100" s="796" t="s">
        <v>615</v>
      </c>
      <c r="M100" s="797">
        <v>504205189</v>
      </c>
      <c r="N100" s="798">
        <v>665950</v>
      </c>
      <c r="O100" s="799">
        <v>230.63</v>
      </c>
      <c r="P100" s="445">
        <f t="shared" si="31"/>
        <v>526105</v>
      </c>
      <c r="Q100" s="801">
        <v>526105</v>
      </c>
      <c r="R100" s="801" t="s">
        <v>733</v>
      </c>
      <c r="S100" s="801" t="s">
        <v>86</v>
      </c>
      <c r="T100" s="801" t="s">
        <v>603</v>
      </c>
      <c r="U100" s="437">
        <v>544274755</v>
      </c>
      <c r="V100" s="437">
        <v>717032</v>
      </c>
      <c r="W100" s="457">
        <v>166</v>
      </c>
      <c r="X100" s="654"/>
    </row>
    <row r="101" spans="1:24" ht="14.25" customHeight="1">
      <c r="A101" s="787">
        <v>565202</v>
      </c>
      <c r="B101" s="788" t="s">
        <v>734</v>
      </c>
      <c r="C101" s="789" t="s">
        <v>86</v>
      </c>
      <c r="D101" s="790" t="s">
        <v>604</v>
      </c>
      <c r="E101" s="791">
        <v>738909910</v>
      </c>
      <c r="F101" s="792">
        <v>-833159.87414925231</v>
      </c>
      <c r="G101" s="793">
        <f>-F101*VLOOKUP(D101,'Factores Emisión EDGE'!$K$168:$L$203,2,FALSE)/1000</f>
        <v>172.28585605701849</v>
      </c>
      <c r="H101" s="434"/>
      <c r="I101" s="794">
        <v>525502</v>
      </c>
      <c r="J101" s="795" t="s">
        <v>735</v>
      </c>
      <c r="K101" s="795" t="s">
        <v>598</v>
      </c>
      <c r="L101" s="796" t="s">
        <v>599</v>
      </c>
      <c r="M101" s="797">
        <v>457795430</v>
      </c>
      <c r="N101" s="798">
        <v>603812</v>
      </c>
      <c r="O101" s="799">
        <v>210.86</v>
      </c>
      <c r="P101" s="445">
        <f t="shared" si="31"/>
        <v>526553</v>
      </c>
      <c r="Q101" s="801">
        <v>526553</v>
      </c>
      <c r="R101" s="801" t="s">
        <v>730</v>
      </c>
      <c r="S101" s="801" t="s">
        <v>86</v>
      </c>
      <c r="T101" s="801" t="s">
        <v>615</v>
      </c>
      <c r="U101" s="437">
        <v>504861381</v>
      </c>
      <c r="V101" s="437">
        <v>665108</v>
      </c>
      <c r="W101" s="457">
        <v>230.3</v>
      </c>
      <c r="X101" s="654"/>
    </row>
    <row r="102" spans="1:24" ht="14.25" customHeight="1">
      <c r="A102" s="787">
        <v>526101</v>
      </c>
      <c r="B102" s="788" t="s">
        <v>736</v>
      </c>
      <c r="C102" s="789" t="s">
        <v>86</v>
      </c>
      <c r="D102" s="790" t="s">
        <v>604</v>
      </c>
      <c r="E102" s="791">
        <v>630057437</v>
      </c>
      <c r="F102" s="792">
        <v>-712860.14647924819</v>
      </c>
      <c r="G102" s="793">
        <f>-F102*VLOOKUP(D102,'Factores Emisión EDGE'!$K$168:$L$203,2,FALSE)/1000</f>
        <v>147.40954815006805</v>
      </c>
      <c r="H102" s="434"/>
      <c r="I102" s="794">
        <v>526105</v>
      </c>
      <c r="J102" s="795" t="s">
        <v>733</v>
      </c>
      <c r="K102" s="795" t="s">
        <v>598</v>
      </c>
      <c r="L102" s="796" t="s">
        <v>603</v>
      </c>
      <c r="M102" s="797">
        <v>544274755</v>
      </c>
      <c r="N102" s="798">
        <v>777877</v>
      </c>
      <c r="O102" s="799">
        <v>180.08</v>
      </c>
      <c r="P102" s="802" t="e">
        <f t="shared" si="31"/>
        <v>#N/A</v>
      </c>
      <c r="Q102" s="803">
        <v>525201</v>
      </c>
      <c r="R102" s="803" t="s">
        <v>737</v>
      </c>
      <c r="S102" s="803" t="s">
        <v>86</v>
      </c>
      <c r="T102" s="803" t="s">
        <v>620</v>
      </c>
      <c r="U102" s="804">
        <v>487754178</v>
      </c>
      <c r="V102" s="804">
        <v>642571</v>
      </c>
      <c r="W102" s="805">
        <v>212.7</v>
      </c>
      <c r="X102" s="806" t="s">
        <v>738</v>
      </c>
    </row>
    <row r="103" spans="1:24" ht="14.25" customHeight="1">
      <c r="A103" s="787">
        <v>567102</v>
      </c>
      <c r="B103" s="788" t="s">
        <v>739</v>
      </c>
      <c r="C103" s="789" t="s">
        <v>86</v>
      </c>
      <c r="D103" s="790" t="s">
        <v>609</v>
      </c>
      <c r="E103" s="791">
        <v>487654723</v>
      </c>
      <c r="F103" s="792">
        <v>-556631.30439749453</v>
      </c>
      <c r="G103" s="793">
        <f>-F103*VLOOKUP(D103,'Factores Emisión EDGE'!$K$168:$L$203,2,FALSE)/1000</f>
        <v>131.42412991390094</v>
      </c>
      <c r="H103" s="434"/>
      <c r="I103" s="794">
        <v>565202</v>
      </c>
      <c r="J103" s="795" t="s">
        <v>734</v>
      </c>
      <c r="K103" s="795" t="s">
        <v>598</v>
      </c>
      <c r="L103" s="796" t="s">
        <v>604</v>
      </c>
      <c r="M103" s="797">
        <v>538672025</v>
      </c>
      <c r="N103" s="798">
        <v>710931</v>
      </c>
      <c r="O103" s="799">
        <v>147.01</v>
      </c>
      <c r="P103" s="445">
        <f t="shared" si="31"/>
        <v>565202</v>
      </c>
      <c r="Q103" s="801">
        <v>565202</v>
      </c>
      <c r="R103" s="801" t="s">
        <v>731</v>
      </c>
      <c r="S103" s="801" t="s">
        <v>86</v>
      </c>
      <c r="T103" s="801" t="s">
        <v>732</v>
      </c>
      <c r="U103" s="437">
        <v>485795264</v>
      </c>
      <c r="V103" s="437">
        <v>639490</v>
      </c>
      <c r="W103" s="457">
        <v>132.30000000000001</v>
      </c>
      <c r="X103" s="654"/>
    </row>
    <row r="104" spans="1:24" ht="14.25" customHeight="1">
      <c r="A104" s="787">
        <v>525502</v>
      </c>
      <c r="B104" s="788" t="s">
        <v>735</v>
      </c>
      <c r="C104" s="789" t="s">
        <v>86</v>
      </c>
      <c r="D104" s="790" t="s">
        <v>599</v>
      </c>
      <c r="E104" s="791">
        <v>327712656</v>
      </c>
      <c r="F104" s="792">
        <v>-372503.87775408669</v>
      </c>
      <c r="G104" s="793">
        <f>-F104*VLOOKUP(D104,'Factores Emisión EDGE'!$K$168:$L$203,2,FALSE)/1000</f>
        <v>130.08451905090391</v>
      </c>
      <c r="H104" s="434"/>
      <c r="I104" s="794">
        <v>526602</v>
      </c>
      <c r="J104" s="795" t="s">
        <v>740</v>
      </c>
      <c r="K104" s="795" t="s">
        <v>598</v>
      </c>
      <c r="L104" s="796" t="s">
        <v>615</v>
      </c>
      <c r="M104" s="797">
        <v>297660535</v>
      </c>
      <c r="N104" s="798">
        <v>388668</v>
      </c>
      <c r="O104" s="799">
        <v>134.6</v>
      </c>
      <c r="P104" s="445">
        <f t="shared" si="31"/>
        <v>526101</v>
      </c>
      <c r="Q104" s="801">
        <v>526101</v>
      </c>
      <c r="R104" s="801" t="s">
        <v>741</v>
      </c>
      <c r="S104" s="801" t="s">
        <v>86</v>
      </c>
      <c r="T104" s="801" t="s">
        <v>609</v>
      </c>
      <c r="U104" s="437">
        <v>434649547</v>
      </c>
      <c r="V104" s="437">
        <v>572611</v>
      </c>
      <c r="W104" s="457">
        <v>135.19999999999999</v>
      </c>
      <c r="X104" s="654"/>
    </row>
    <row r="105" spans="1:24" ht="14.25" customHeight="1">
      <c r="A105" s="787">
        <v>526602</v>
      </c>
      <c r="B105" s="788" t="s">
        <v>740</v>
      </c>
      <c r="C105" s="789" t="s">
        <v>86</v>
      </c>
      <c r="D105" s="790" t="s">
        <v>615</v>
      </c>
      <c r="E105" s="791">
        <v>331967855</v>
      </c>
      <c r="F105" s="792">
        <v>-374685.99340219965</v>
      </c>
      <c r="G105" s="793">
        <f>-F105*VLOOKUP(D105,'Factores Emisión EDGE'!$K$168:$L$203,2,FALSE)/1000</f>
        <v>129.75961211039868</v>
      </c>
      <c r="H105" s="434"/>
      <c r="I105" s="794">
        <v>567101</v>
      </c>
      <c r="J105" s="795" t="s">
        <v>742</v>
      </c>
      <c r="K105" s="795" t="s">
        <v>598</v>
      </c>
      <c r="L105" s="796" t="s">
        <v>609</v>
      </c>
      <c r="M105" s="797">
        <v>422040101</v>
      </c>
      <c r="N105" s="798">
        <v>547551</v>
      </c>
      <c r="O105" s="799">
        <v>129.28</v>
      </c>
      <c r="P105" s="445">
        <f t="shared" si="31"/>
        <v>567101</v>
      </c>
      <c r="Q105" s="801">
        <v>567101</v>
      </c>
      <c r="R105" s="801" t="s">
        <v>743</v>
      </c>
      <c r="S105" s="801" t="s">
        <v>86</v>
      </c>
      <c r="T105" s="801" t="s">
        <v>609</v>
      </c>
      <c r="U105" s="437">
        <v>388932381</v>
      </c>
      <c r="V105" s="437">
        <v>512382</v>
      </c>
      <c r="W105" s="457">
        <v>121</v>
      </c>
      <c r="X105" s="654"/>
    </row>
    <row r="106" spans="1:24" ht="14.25" customHeight="1">
      <c r="A106" s="787">
        <v>521202</v>
      </c>
      <c r="B106" s="788" t="s">
        <v>744</v>
      </c>
      <c r="C106" s="789" t="s">
        <v>86</v>
      </c>
      <c r="D106" s="790" t="s">
        <v>621</v>
      </c>
      <c r="E106" s="791">
        <v>224776934</v>
      </c>
      <c r="F106" s="792">
        <v>-253653.30551688475</v>
      </c>
      <c r="G106" s="793">
        <f>-F106*VLOOKUP(D106,'Factores Emisión EDGE'!$K$168:$L$203,2,FALSE)/1000</f>
        <v>83.599023457325146</v>
      </c>
      <c r="H106" s="434"/>
      <c r="I106" s="794">
        <v>526101</v>
      </c>
      <c r="J106" s="795" t="s">
        <v>736</v>
      </c>
      <c r="K106" s="795" t="s">
        <v>598</v>
      </c>
      <c r="L106" s="796" t="s">
        <v>604</v>
      </c>
      <c r="M106" s="797">
        <v>465193582</v>
      </c>
      <c r="N106" s="798">
        <v>616559</v>
      </c>
      <c r="O106" s="799">
        <v>127.5</v>
      </c>
      <c r="P106" s="445">
        <f t="shared" si="31"/>
        <v>526552</v>
      </c>
      <c r="Q106" s="801">
        <v>526552</v>
      </c>
      <c r="R106" s="801" t="s">
        <v>745</v>
      </c>
      <c r="S106" s="801" t="s">
        <v>86</v>
      </c>
      <c r="T106" s="801" t="s">
        <v>612</v>
      </c>
      <c r="U106" s="437">
        <v>344730104</v>
      </c>
      <c r="V106" s="437">
        <v>454158.62</v>
      </c>
      <c r="W106" s="457">
        <v>81.8</v>
      </c>
      <c r="X106" s="654"/>
    </row>
    <row r="107" spans="1:24" ht="14.25" customHeight="1">
      <c r="A107" s="787">
        <v>565603</v>
      </c>
      <c r="B107" s="788" t="s">
        <v>746</v>
      </c>
      <c r="C107" s="789" t="s">
        <v>86</v>
      </c>
      <c r="D107" s="790" t="s">
        <v>603</v>
      </c>
      <c r="E107" s="791">
        <v>298816333</v>
      </c>
      <c r="F107" s="792">
        <v>-338718.43099704693</v>
      </c>
      <c r="G107" s="793">
        <f>-F107*VLOOKUP(D107,'Factores Emisión EDGE'!$K$168:$L$203,2,FALSE)/1000</f>
        <v>78.412364977025263</v>
      </c>
      <c r="H107" s="434"/>
      <c r="I107" s="794">
        <v>565203</v>
      </c>
      <c r="J107" s="795" t="s">
        <v>747</v>
      </c>
      <c r="K107" s="795" t="s">
        <v>598</v>
      </c>
      <c r="L107" s="796" t="s">
        <v>619</v>
      </c>
      <c r="M107" s="797">
        <v>457445111</v>
      </c>
      <c r="N107" s="798">
        <v>583109</v>
      </c>
      <c r="O107" s="799">
        <v>124.39</v>
      </c>
      <c r="P107" s="445">
        <f t="shared" si="31"/>
        <v>565203</v>
      </c>
      <c r="Q107" s="801">
        <v>565203</v>
      </c>
      <c r="R107" s="801" t="s">
        <v>748</v>
      </c>
      <c r="S107" s="801" t="s">
        <v>86</v>
      </c>
      <c r="T107" s="801" t="s">
        <v>619</v>
      </c>
      <c r="U107" s="437">
        <v>334443087</v>
      </c>
      <c r="V107" s="437">
        <v>440598</v>
      </c>
      <c r="W107" s="457">
        <v>94</v>
      </c>
      <c r="X107" s="654"/>
    </row>
    <row r="108" spans="1:24" ht="14.25" customHeight="1">
      <c r="A108" s="787">
        <v>526601</v>
      </c>
      <c r="B108" s="788" t="s">
        <v>749</v>
      </c>
      <c r="C108" s="789" t="s">
        <v>86</v>
      </c>
      <c r="D108" s="790" t="s">
        <v>615</v>
      </c>
      <c r="E108" s="791">
        <v>198311342</v>
      </c>
      <c r="F108" s="792">
        <v>-224034.75527962804</v>
      </c>
      <c r="G108" s="793">
        <f>-F108*VLOOKUP(D108,'Factores Emisión EDGE'!$K$168:$L$203,2,FALSE)/1000</f>
        <v>77.586735176212656</v>
      </c>
      <c r="H108" s="434"/>
      <c r="I108" s="794">
        <v>521901</v>
      </c>
      <c r="J108" s="795" t="s">
        <v>750</v>
      </c>
      <c r="K108" s="795" t="s">
        <v>598</v>
      </c>
      <c r="L108" s="796" t="s">
        <v>617</v>
      </c>
      <c r="M108" s="797">
        <v>276479621</v>
      </c>
      <c r="N108" s="798">
        <v>382274</v>
      </c>
      <c r="O108" s="799">
        <v>90.06</v>
      </c>
      <c r="P108" s="802">
        <f t="shared" si="31"/>
        <v>525902</v>
      </c>
      <c r="Q108" s="803">
        <v>525902</v>
      </c>
      <c r="R108" s="803" t="s">
        <v>751</v>
      </c>
      <c r="S108" s="803" t="s">
        <v>86</v>
      </c>
      <c r="T108" s="803" t="s">
        <v>615</v>
      </c>
      <c r="U108" s="804">
        <v>326760274</v>
      </c>
      <c r="V108" s="804">
        <v>430476</v>
      </c>
      <c r="W108" s="805">
        <v>149.1</v>
      </c>
      <c r="X108" s="807" t="s">
        <v>752</v>
      </c>
    </row>
    <row r="109" spans="1:24" ht="14.25" customHeight="1">
      <c r="A109" s="787">
        <v>526552</v>
      </c>
      <c r="B109" s="788" t="s">
        <v>745</v>
      </c>
      <c r="C109" s="789" t="s">
        <v>86</v>
      </c>
      <c r="D109" s="790" t="s">
        <v>612</v>
      </c>
      <c r="E109" s="791">
        <v>370981087</v>
      </c>
      <c r="F109" s="792">
        <v>-417667.63922267564</v>
      </c>
      <c r="G109" s="793">
        <f>-F109*VLOOKUP(D109,'Factores Emisión EDGE'!$K$168:$L$203,2,FALSE)/1000</f>
        <v>75.246972645622506</v>
      </c>
      <c r="H109" s="434"/>
      <c r="I109" s="794">
        <v>526552</v>
      </c>
      <c r="J109" s="795" t="s">
        <v>745</v>
      </c>
      <c r="K109" s="795" t="s">
        <v>598</v>
      </c>
      <c r="L109" s="796" t="s">
        <v>612</v>
      </c>
      <c r="M109" s="797">
        <v>344730104</v>
      </c>
      <c r="N109" s="798">
        <v>454588</v>
      </c>
      <c r="O109" s="799">
        <v>81.900000000000006</v>
      </c>
      <c r="P109" s="445">
        <f t="shared" si="31"/>
        <v>521106</v>
      </c>
      <c r="Q109" s="801">
        <v>521106</v>
      </c>
      <c r="R109" s="801" t="s">
        <v>753</v>
      </c>
      <c r="S109" s="801" t="s">
        <v>86</v>
      </c>
      <c r="T109" s="801" t="s">
        <v>612</v>
      </c>
      <c r="U109" s="437">
        <v>309381919</v>
      </c>
      <c r="V109" s="437">
        <v>407582</v>
      </c>
      <c r="W109" s="457">
        <v>73.400000000000006</v>
      </c>
      <c r="X109" s="654"/>
    </row>
    <row r="110" spans="1:24" ht="14.25" customHeight="1">
      <c r="A110" s="787">
        <v>565303</v>
      </c>
      <c r="B110" s="788" t="s">
        <v>754</v>
      </c>
      <c r="C110" s="789" t="s">
        <v>86</v>
      </c>
      <c r="D110" s="790" t="s">
        <v>604</v>
      </c>
      <c r="E110" s="791">
        <v>267679791</v>
      </c>
      <c r="F110" s="792">
        <v>-303501.41740154405</v>
      </c>
      <c r="G110" s="793">
        <f>-F110*VLOOKUP(D110,'Factores Emisión EDGE'!$K$168:$L$203,2,FALSE)/1000</f>
        <v>62.759865343894901</v>
      </c>
      <c r="H110" s="434"/>
      <c r="I110" s="794">
        <v>521106</v>
      </c>
      <c r="J110" s="795" t="s">
        <v>753</v>
      </c>
      <c r="K110" s="795" t="s">
        <v>598</v>
      </c>
      <c r="L110" s="796" t="s">
        <v>612</v>
      </c>
      <c r="M110" s="797">
        <v>309381919</v>
      </c>
      <c r="N110" s="798">
        <v>408505</v>
      </c>
      <c r="O110" s="799">
        <v>73.599999999999994</v>
      </c>
      <c r="P110" s="445">
        <f t="shared" si="31"/>
        <v>526602</v>
      </c>
      <c r="Q110" s="801">
        <v>526602</v>
      </c>
      <c r="R110" s="801" t="s">
        <v>740</v>
      </c>
      <c r="S110" s="801" t="s">
        <v>86</v>
      </c>
      <c r="T110" s="801" t="s">
        <v>615</v>
      </c>
      <c r="U110" s="437">
        <v>297660535</v>
      </c>
      <c r="V110" s="437">
        <v>392140</v>
      </c>
      <c r="W110" s="457">
        <v>135.80000000000001</v>
      </c>
      <c r="X110" s="654"/>
    </row>
    <row r="111" spans="1:24" ht="14.25" customHeight="1">
      <c r="A111" s="787">
        <v>526401</v>
      </c>
      <c r="B111" s="788" t="s">
        <v>755</v>
      </c>
      <c r="C111" s="789" t="s">
        <v>86</v>
      </c>
      <c r="D111" s="790" t="s">
        <v>597</v>
      </c>
      <c r="E111" s="791">
        <v>104631096</v>
      </c>
      <c r="F111" s="792">
        <v>-120456.04171557182</v>
      </c>
      <c r="G111" s="793">
        <f>-F111*VLOOKUP(D111,'Factores Emisión EDGE'!$K$168:$L$203,2,FALSE)/1000</f>
        <v>60.002977653290372</v>
      </c>
      <c r="H111" s="434"/>
      <c r="I111" s="794">
        <v>526401</v>
      </c>
      <c r="J111" s="795" t="s">
        <v>755</v>
      </c>
      <c r="K111" s="795" t="s">
        <v>598</v>
      </c>
      <c r="L111" s="796" t="s">
        <v>597</v>
      </c>
      <c r="M111" s="797">
        <v>109964105</v>
      </c>
      <c r="N111" s="798">
        <v>146654</v>
      </c>
      <c r="O111" s="799">
        <v>73.05</v>
      </c>
      <c r="P111" s="445">
        <f t="shared" si="31"/>
        <v>521901</v>
      </c>
      <c r="Q111" s="801">
        <v>521901</v>
      </c>
      <c r="R111" s="801" t="s">
        <v>756</v>
      </c>
      <c r="S111" s="801" t="s">
        <v>86</v>
      </c>
      <c r="T111" s="801" t="s">
        <v>621</v>
      </c>
      <c r="U111" s="437">
        <v>280629726</v>
      </c>
      <c r="V111" s="437">
        <v>369704</v>
      </c>
      <c r="W111" s="457">
        <v>121.8</v>
      </c>
      <c r="X111" s="654"/>
    </row>
    <row r="112" spans="1:24" ht="14.25" customHeight="1">
      <c r="A112" s="787">
        <v>567101</v>
      </c>
      <c r="B112" s="788" t="s">
        <v>742</v>
      </c>
      <c r="C112" s="789" t="s">
        <v>86</v>
      </c>
      <c r="D112" s="790" t="s">
        <v>609</v>
      </c>
      <c r="E112" s="791">
        <v>212073514</v>
      </c>
      <c r="F112" s="792">
        <v>-237540.06078792035</v>
      </c>
      <c r="G112" s="793">
        <f>-F112*VLOOKUP(D112,'Factores Emisión EDGE'!$K$168:$L$203,2,FALSE)/1000</f>
        <v>56.084692977407919</v>
      </c>
      <c r="H112" s="434"/>
      <c r="I112" s="794">
        <v>526555</v>
      </c>
      <c r="J112" s="795" t="s">
        <v>757</v>
      </c>
      <c r="K112" s="795" t="s">
        <v>598</v>
      </c>
      <c r="L112" s="796" t="s">
        <v>615</v>
      </c>
      <c r="M112" s="797">
        <v>160916705</v>
      </c>
      <c r="N112" s="798">
        <v>209747</v>
      </c>
      <c r="O112" s="799">
        <v>72.64</v>
      </c>
      <c r="P112" s="445">
        <f t="shared" si="31"/>
        <v>521105</v>
      </c>
      <c r="Q112" s="801">
        <v>521105</v>
      </c>
      <c r="R112" s="801" t="s">
        <v>758</v>
      </c>
      <c r="S112" s="801" t="s">
        <v>86</v>
      </c>
      <c r="T112" s="801" t="s">
        <v>612</v>
      </c>
      <c r="U112" s="437">
        <v>267172127</v>
      </c>
      <c r="V112" s="437">
        <v>251975</v>
      </c>
      <c r="W112" s="457">
        <v>63.4</v>
      </c>
      <c r="X112" s="654"/>
    </row>
    <row r="113" spans="1:24" ht="14.25" customHeight="1">
      <c r="A113" s="787">
        <v>526105</v>
      </c>
      <c r="B113" s="788" t="s">
        <v>733</v>
      </c>
      <c r="C113" s="789" t="s">
        <v>86</v>
      </c>
      <c r="D113" s="790" t="s">
        <v>603</v>
      </c>
      <c r="E113" s="791">
        <v>189871305</v>
      </c>
      <c r="F113" s="792">
        <v>-227045.37699032028</v>
      </c>
      <c r="G113" s="793">
        <f>-F113*VLOOKUP(D113,'Factores Emisión EDGE'!$K$168:$L$203,2,FALSE)/1000</f>
        <v>52.560366775749799</v>
      </c>
      <c r="H113" s="434"/>
      <c r="I113" s="794">
        <v>525902</v>
      </c>
      <c r="J113" s="795" t="s">
        <v>759</v>
      </c>
      <c r="K113" s="795" t="s">
        <v>598</v>
      </c>
      <c r="L113" s="796" t="s">
        <v>607</v>
      </c>
      <c r="M113" s="797">
        <v>358274307</v>
      </c>
      <c r="N113" s="798">
        <v>474194</v>
      </c>
      <c r="O113" s="799">
        <v>63.87</v>
      </c>
      <c r="P113" s="802" t="e">
        <f t="shared" si="31"/>
        <v>#N/A</v>
      </c>
      <c r="Q113" s="803">
        <v>526572</v>
      </c>
      <c r="R113" s="803" t="s">
        <v>760</v>
      </c>
      <c r="S113" s="803" t="s">
        <v>86</v>
      </c>
      <c r="T113" s="803" t="s">
        <v>611</v>
      </c>
      <c r="U113" s="804">
        <v>185632860</v>
      </c>
      <c r="V113" s="804">
        <v>244554</v>
      </c>
      <c r="W113" s="805">
        <v>57.6</v>
      </c>
      <c r="X113" s="806"/>
    </row>
    <row r="114" spans="1:24" ht="14.25" customHeight="1">
      <c r="A114" s="787">
        <v>521106</v>
      </c>
      <c r="B114" s="788" t="s">
        <v>753</v>
      </c>
      <c r="C114" s="789" t="s">
        <v>86</v>
      </c>
      <c r="D114" s="790" t="s">
        <v>612</v>
      </c>
      <c r="E114" s="791">
        <v>252304422</v>
      </c>
      <c r="F114" s="792">
        <v>-288899.43353931373</v>
      </c>
      <c r="G114" s="793">
        <f>-F114*VLOOKUP(D114,'Factores Emisión EDGE'!$K$168:$L$203,2,FALSE)/1000</f>
        <v>52.048101723482411</v>
      </c>
      <c r="H114" s="434"/>
      <c r="I114" s="794">
        <v>526601</v>
      </c>
      <c r="J114" s="795" t="s">
        <v>749</v>
      </c>
      <c r="K114" s="795" t="s">
        <v>598</v>
      </c>
      <c r="L114" s="796" t="s">
        <v>615</v>
      </c>
      <c r="M114" s="797">
        <v>138880309</v>
      </c>
      <c r="N114" s="798">
        <v>181780</v>
      </c>
      <c r="O114" s="799">
        <v>62.95</v>
      </c>
      <c r="P114" s="445">
        <f t="shared" si="31"/>
        <v>562105</v>
      </c>
      <c r="Q114" s="801">
        <v>562105</v>
      </c>
      <c r="R114" s="801" t="s">
        <v>758</v>
      </c>
      <c r="S114" s="801" t="s">
        <v>86</v>
      </c>
      <c r="T114" s="801" t="s">
        <v>612</v>
      </c>
      <c r="U114" s="437">
        <v>170138400</v>
      </c>
      <c r="V114" s="437">
        <v>224142</v>
      </c>
      <c r="W114" s="457">
        <v>40.4</v>
      </c>
      <c r="X114" s="654"/>
    </row>
    <row r="115" spans="1:24" ht="14.25" customHeight="1">
      <c r="A115" s="787">
        <v>565106</v>
      </c>
      <c r="B115" s="788" t="s">
        <v>726</v>
      </c>
      <c r="C115" s="789" t="s">
        <v>86</v>
      </c>
      <c r="D115" s="790" t="s">
        <v>610</v>
      </c>
      <c r="E115" s="791">
        <v>178273471</v>
      </c>
      <c r="F115" s="792">
        <v>-200412.34166943238</v>
      </c>
      <c r="G115" s="793">
        <f>-F115*VLOOKUP(D115,'Factores Emisión EDGE'!$K$168:$L$203,2,FALSE)/1000</f>
        <v>48.643438242264452</v>
      </c>
      <c r="H115" s="434"/>
      <c r="I115" s="794">
        <v>521105</v>
      </c>
      <c r="J115" s="795" t="s">
        <v>758</v>
      </c>
      <c r="K115" s="795" t="s">
        <v>598</v>
      </c>
      <c r="L115" s="796" t="s">
        <v>612</v>
      </c>
      <c r="M115" s="797">
        <v>267172127</v>
      </c>
      <c r="N115" s="798">
        <v>346373</v>
      </c>
      <c r="O115" s="799">
        <v>62.4</v>
      </c>
      <c r="P115" s="445">
        <f t="shared" si="31"/>
        <v>565303</v>
      </c>
      <c r="Q115" s="801">
        <v>565303</v>
      </c>
      <c r="R115" s="801" t="s">
        <v>754</v>
      </c>
      <c r="S115" s="801" t="s">
        <v>86</v>
      </c>
      <c r="T115" s="801" t="s">
        <v>609</v>
      </c>
      <c r="U115" s="437">
        <v>155441509</v>
      </c>
      <c r="V115" s="437">
        <v>204780</v>
      </c>
      <c r="W115" s="457">
        <v>48.3</v>
      </c>
      <c r="X115" s="654"/>
    </row>
    <row r="116" spans="1:24" ht="14.25" customHeight="1">
      <c r="A116" s="787">
        <v>525902</v>
      </c>
      <c r="B116" s="788" t="s">
        <v>759</v>
      </c>
      <c r="C116" s="789" t="s">
        <v>86</v>
      </c>
      <c r="D116" s="790" t="s">
        <v>607</v>
      </c>
      <c r="E116" s="791">
        <v>299398083</v>
      </c>
      <c r="F116" s="792">
        <v>-341134.59365821164</v>
      </c>
      <c r="G116" s="793">
        <f>-F116*VLOOKUP(D116,'Factores Emisión EDGE'!$K$168:$L$203,2,FALSE)/1000</f>
        <v>45.945910604920556</v>
      </c>
      <c r="H116" s="434"/>
      <c r="I116" s="794">
        <v>521202</v>
      </c>
      <c r="J116" s="795" t="s">
        <v>744</v>
      </c>
      <c r="K116" s="795" t="s">
        <v>598</v>
      </c>
      <c r="L116" s="796" t="s">
        <v>621</v>
      </c>
      <c r="M116" s="797">
        <v>115339627</v>
      </c>
      <c r="N116" s="798">
        <v>153523</v>
      </c>
      <c r="O116" s="799">
        <v>50.6</v>
      </c>
      <c r="P116" s="445">
        <f t="shared" si="31"/>
        <v>562106</v>
      </c>
      <c r="Q116" s="801">
        <v>562106</v>
      </c>
      <c r="R116" s="801" t="s">
        <v>753</v>
      </c>
      <c r="S116" s="801" t="s">
        <v>86</v>
      </c>
      <c r="T116" s="801" t="s">
        <v>612</v>
      </c>
      <c r="U116" s="437">
        <v>148953601</v>
      </c>
      <c r="V116" s="437">
        <v>196233</v>
      </c>
      <c r="W116" s="457">
        <v>35.4</v>
      </c>
      <c r="X116" s="654"/>
    </row>
    <row r="117" spans="1:24" ht="14.25" customHeight="1">
      <c r="A117" s="787">
        <v>565203</v>
      </c>
      <c r="B117" s="788" t="s">
        <v>747</v>
      </c>
      <c r="C117" s="789" t="s">
        <v>86</v>
      </c>
      <c r="D117" s="790" t="s">
        <v>619</v>
      </c>
      <c r="E117" s="791">
        <v>189124499</v>
      </c>
      <c r="F117" s="792">
        <v>-214087.74879107598</v>
      </c>
      <c r="G117" s="793">
        <f>-F117*VLOOKUP(D117,'Factores Emisión EDGE'!$K$168:$L$203,2,FALSE)/1000</f>
        <v>45.670097740657248</v>
      </c>
      <c r="H117" s="434"/>
      <c r="I117" s="794">
        <v>565303</v>
      </c>
      <c r="J117" s="795" t="s">
        <v>754</v>
      </c>
      <c r="K117" s="795" t="s">
        <v>598</v>
      </c>
      <c r="L117" s="796" t="s">
        <v>604</v>
      </c>
      <c r="M117" s="797">
        <v>155441509</v>
      </c>
      <c r="N117" s="798">
        <v>204433</v>
      </c>
      <c r="O117" s="799">
        <v>42.27</v>
      </c>
      <c r="P117" s="445">
        <f t="shared" si="31"/>
        <v>526555</v>
      </c>
      <c r="Q117" s="801">
        <v>526555</v>
      </c>
      <c r="R117" s="801" t="s">
        <v>761</v>
      </c>
      <c r="S117" s="801" t="s">
        <v>86</v>
      </c>
      <c r="T117" s="801" t="s">
        <v>615</v>
      </c>
      <c r="U117" s="437">
        <v>134673548</v>
      </c>
      <c r="V117" s="437">
        <v>177420</v>
      </c>
      <c r="W117" s="457">
        <v>61.4</v>
      </c>
      <c r="X117" s="654"/>
    </row>
    <row r="118" spans="1:24" ht="14.25" customHeight="1">
      <c r="A118" s="787">
        <v>521999</v>
      </c>
      <c r="B118" s="788" t="s">
        <v>762</v>
      </c>
      <c r="C118" s="789" t="s">
        <v>86</v>
      </c>
      <c r="D118" s="790" t="s">
        <v>610</v>
      </c>
      <c r="E118" s="791">
        <v>1618616</v>
      </c>
      <c r="F118" s="792">
        <v>-179434.122776909</v>
      </c>
      <c r="G118" s="793">
        <f>-F118*VLOOKUP(D118,'Factores Emisión EDGE'!$K$168:$L$203,2,FALSE)/1000</f>
        <v>43.551672502536015</v>
      </c>
      <c r="H118" s="434"/>
      <c r="I118" s="794">
        <v>565106</v>
      </c>
      <c r="J118" s="795" t="s">
        <v>726</v>
      </c>
      <c r="K118" s="795" t="s">
        <v>598</v>
      </c>
      <c r="L118" s="796" t="s">
        <v>610</v>
      </c>
      <c r="M118" s="797">
        <v>125723521</v>
      </c>
      <c r="N118" s="798">
        <v>168323</v>
      </c>
      <c r="O118" s="799">
        <v>40.85</v>
      </c>
      <c r="P118" s="445">
        <f t="shared" si="31"/>
        <v>526501</v>
      </c>
      <c r="Q118" s="801">
        <v>526501</v>
      </c>
      <c r="R118" s="801" t="s">
        <v>722</v>
      </c>
      <c r="S118" s="801" t="s">
        <v>86</v>
      </c>
      <c r="T118" s="801" t="s">
        <v>615</v>
      </c>
      <c r="U118" s="437">
        <v>128968633</v>
      </c>
      <c r="V118" s="437">
        <v>169904</v>
      </c>
      <c r="W118" s="457">
        <v>58.8</v>
      </c>
      <c r="X118" s="654"/>
    </row>
    <row r="119" spans="1:24" ht="14.25" customHeight="1">
      <c r="A119" s="787">
        <v>565104</v>
      </c>
      <c r="B119" s="788" t="s">
        <v>722</v>
      </c>
      <c r="C119" s="789" t="s">
        <v>86</v>
      </c>
      <c r="D119" s="790" t="s">
        <v>606</v>
      </c>
      <c r="E119" s="791">
        <v>135604146</v>
      </c>
      <c r="F119" s="792">
        <v>-154127.42387137809</v>
      </c>
      <c r="G119" s="793">
        <f>-F119*VLOOKUP(D119,'Factores Emisión EDGE'!$K$168:$L$203,2,FALSE)/1000</f>
        <v>37.409312031756023</v>
      </c>
      <c r="H119" s="434"/>
      <c r="I119" s="794">
        <v>565301</v>
      </c>
      <c r="J119" s="795" t="s">
        <v>763</v>
      </c>
      <c r="K119" s="795" t="s">
        <v>598</v>
      </c>
      <c r="L119" s="796" t="s">
        <v>620</v>
      </c>
      <c r="M119" s="797">
        <v>93461473</v>
      </c>
      <c r="N119" s="798">
        <v>123235</v>
      </c>
      <c r="O119" s="799">
        <v>40.79</v>
      </c>
      <c r="P119" s="445">
        <f t="shared" si="31"/>
        <v>565203</v>
      </c>
      <c r="Q119" s="801">
        <v>565203</v>
      </c>
      <c r="R119" s="801" t="s">
        <v>747</v>
      </c>
      <c r="S119" s="801" t="s">
        <v>86</v>
      </c>
      <c r="T119" s="801" t="s">
        <v>619</v>
      </c>
      <c r="U119" s="437">
        <v>122382189</v>
      </c>
      <c r="V119" s="437">
        <v>161227</v>
      </c>
      <c r="W119" s="457">
        <v>34.4</v>
      </c>
      <c r="X119" s="654"/>
    </row>
    <row r="120" spans="1:24" ht="14.25" customHeight="1">
      <c r="A120" s="787">
        <v>526102</v>
      </c>
      <c r="B120" s="788" t="s">
        <v>763</v>
      </c>
      <c r="C120" s="789" t="s">
        <v>86</v>
      </c>
      <c r="D120" s="790" t="s">
        <v>620</v>
      </c>
      <c r="E120" s="791">
        <v>93196033</v>
      </c>
      <c r="F120" s="792">
        <v>-107910.66777373292</v>
      </c>
      <c r="G120" s="793">
        <f>-F120*VLOOKUP(D120,'Factores Emisión EDGE'!$K$168:$L$203,2,FALSE)/1000</f>
        <v>35.720245011430876</v>
      </c>
      <c r="H120" s="434"/>
      <c r="I120" s="794">
        <v>526551</v>
      </c>
      <c r="J120" s="795" t="s">
        <v>764</v>
      </c>
      <c r="K120" s="795" t="s">
        <v>598</v>
      </c>
      <c r="L120" s="796" t="s">
        <v>617</v>
      </c>
      <c r="M120" s="797">
        <v>131266809</v>
      </c>
      <c r="N120" s="798">
        <v>172849</v>
      </c>
      <c r="O120" s="799">
        <v>40.72</v>
      </c>
      <c r="P120" s="808">
        <f t="shared" si="31"/>
        <v>526551</v>
      </c>
      <c r="Q120" s="809">
        <v>526551</v>
      </c>
      <c r="R120" s="809" t="s">
        <v>765</v>
      </c>
      <c r="S120" s="809" t="s">
        <v>86</v>
      </c>
      <c r="T120" s="809" t="s">
        <v>766</v>
      </c>
      <c r="U120" s="810">
        <v>121098869</v>
      </c>
      <c r="V120" s="810">
        <v>159537</v>
      </c>
      <c r="W120" s="811">
        <v>770.3</v>
      </c>
      <c r="X120" s="812" t="s">
        <v>767</v>
      </c>
    </row>
    <row r="121" spans="1:24" ht="14.25" customHeight="1">
      <c r="A121" s="787">
        <v>521901</v>
      </c>
      <c r="B121" s="788" t="s">
        <v>750</v>
      </c>
      <c r="C121" s="789" t="s">
        <v>86</v>
      </c>
      <c r="D121" s="790" t="s">
        <v>617</v>
      </c>
      <c r="E121" s="791">
        <v>126363024</v>
      </c>
      <c r="F121" s="792">
        <v>-143549.2780641616</v>
      </c>
      <c r="G121" s="793">
        <f>-F121*VLOOKUP(D121,'Factores Emisión EDGE'!$K$168:$L$203,2,FALSE)/1000</f>
        <v>33.820379300064587</v>
      </c>
      <c r="H121" s="434"/>
      <c r="I121" s="794">
        <v>562105</v>
      </c>
      <c r="J121" s="795" t="s">
        <v>758</v>
      </c>
      <c r="K121" s="795" t="s">
        <v>598</v>
      </c>
      <c r="L121" s="796" t="s">
        <v>612</v>
      </c>
      <c r="M121" s="797">
        <v>170138400</v>
      </c>
      <c r="N121" s="798">
        <v>224095</v>
      </c>
      <c r="O121" s="799">
        <v>40.369999999999997</v>
      </c>
      <c r="P121" s="445">
        <f t="shared" si="31"/>
        <v>565106</v>
      </c>
      <c r="Q121" s="801">
        <v>565106</v>
      </c>
      <c r="R121" s="801" t="s">
        <v>729</v>
      </c>
      <c r="S121" s="801" t="s">
        <v>86</v>
      </c>
      <c r="T121" s="801" t="s">
        <v>610</v>
      </c>
      <c r="U121" s="437">
        <v>120797861</v>
      </c>
      <c r="V121" s="437">
        <v>159140</v>
      </c>
      <c r="W121" s="457">
        <v>38.6</v>
      </c>
      <c r="X121" s="654"/>
    </row>
    <row r="122" spans="1:24" ht="14.25" customHeight="1">
      <c r="A122" s="787">
        <v>562105</v>
      </c>
      <c r="B122" s="788" t="s">
        <v>758</v>
      </c>
      <c r="C122" s="789" t="s">
        <v>86</v>
      </c>
      <c r="D122" s="790" t="s">
        <v>612</v>
      </c>
      <c r="E122" s="791">
        <v>151496472</v>
      </c>
      <c r="F122" s="792">
        <v>-173881.9939663182</v>
      </c>
      <c r="G122" s="793">
        <f>-F122*VLOOKUP(D122,'Factores Emisión EDGE'!$K$168:$L$203,2,FALSE)/1000</f>
        <v>31.326567861232309</v>
      </c>
      <c r="H122" s="434"/>
      <c r="I122" s="794">
        <v>526102</v>
      </c>
      <c r="J122" s="795" t="s">
        <v>763</v>
      </c>
      <c r="K122" s="795" t="s">
        <v>598</v>
      </c>
      <c r="L122" s="796" t="s">
        <v>620</v>
      </c>
      <c r="M122" s="797">
        <v>89327028</v>
      </c>
      <c r="N122" s="798">
        <v>118316</v>
      </c>
      <c r="O122" s="799">
        <v>39.159999999999997</v>
      </c>
      <c r="P122" s="445">
        <f t="shared" si="31"/>
        <v>526601</v>
      </c>
      <c r="Q122" s="801">
        <v>526601</v>
      </c>
      <c r="R122" s="801" t="s">
        <v>768</v>
      </c>
      <c r="S122" s="801" t="s">
        <v>86</v>
      </c>
      <c r="T122" s="801" t="s">
        <v>615</v>
      </c>
      <c r="U122" s="437">
        <v>119983052</v>
      </c>
      <c r="V122" s="437">
        <v>158067</v>
      </c>
      <c r="W122" s="457">
        <v>54.7</v>
      </c>
      <c r="X122" s="654"/>
    </row>
    <row r="123" spans="1:24" ht="14.25" customHeight="1">
      <c r="A123" s="787">
        <v>526551</v>
      </c>
      <c r="B123" s="788" t="s">
        <v>764</v>
      </c>
      <c r="C123" s="789" t="s">
        <v>86</v>
      </c>
      <c r="D123" s="790" t="s">
        <v>617</v>
      </c>
      <c r="E123" s="791">
        <v>115676826</v>
      </c>
      <c r="F123" s="792">
        <v>-130081.80721966275</v>
      </c>
      <c r="G123" s="793">
        <f>-F123*VLOOKUP(D123,'Factores Emisión EDGE'!$K$168:$L$203,2,FALSE)/1000</f>
        <v>30.647427277485061</v>
      </c>
      <c r="H123" s="434"/>
      <c r="I123" s="794">
        <v>562106</v>
      </c>
      <c r="J123" s="795" t="s">
        <v>753</v>
      </c>
      <c r="K123" s="795" t="s">
        <v>598</v>
      </c>
      <c r="L123" s="796" t="s">
        <v>612</v>
      </c>
      <c r="M123" s="797">
        <v>148953602</v>
      </c>
      <c r="N123" s="798">
        <v>196586</v>
      </c>
      <c r="O123" s="799">
        <v>35.42</v>
      </c>
      <c r="P123" s="445">
        <f t="shared" si="31"/>
        <v>521202</v>
      </c>
      <c r="Q123" s="801">
        <v>521202</v>
      </c>
      <c r="R123" s="801" t="s">
        <v>744</v>
      </c>
      <c r="S123" s="801" t="s">
        <v>86</v>
      </c>
      <c r="T123" s="801" t="s">
        <v>621</v>
      </c>
      <c r="U123" s="437">
        <v>115339627</v>
      </c>
      <c r="V123" s="437">
        <v>151949</v>
      </c>
      <c r="W123" s="457">
        <v>50.1</v>
      </c>
      <c r="X123" s="654"/>
    </row>
    <row r="124" spans="1:24" ht="14.25" customHeight="1">
      <c r="A124" s="787">
        <v>565301</v>
      </c>
      <c r="B124" s="788" t="s">
        <v>763</v>
      </c>
      <c r="C124" s="789" t="s">
        <v>86</v>
      </c>
      <c r="D124" s="790" t="s">
        <v>620</v>
      </c>
      <c r="E124" s="791">
        <v>76710642</v>
      </c>
      <c r="F124" s="792">
        <v>-87372.050952233985</v>
      </c>
      <c r="G124" s="793">
        <f>-F124*VLOOKUP(D124,'Factores Emisión EDGE'!$K$168:$L$203,2,FALSE)/1000</f>
        <v>28.921617589365958</v>
      </c>
      <c r="H124" s="434"/>
      <c r="I124" s="794">
        <v>565105</v>
      </c>
      <c r="J124" s="795" t="s">
        <v>730</v>
      </c>
      <c r="K124" s="795" t="s">
        <v>598</v>
      </c>
      <c r="L124" s="796" t="s">
        <v>615</v>
      </c>
      <c r="M124" s="797">
        <v>74780372</v>
      </c>
      <c r="N124" s="798">
        <v>98929</v>
      </c>
      <c r="O124" s="799">
        <v>34.26</v>
      </c>
      <c r="P124" s="802" t="e">
        <f t="shared" si="31"/>
        <v>#N/A</v>
      </c>
      <c r="Q124" s="803">
        <v>525901</v>
      </c>
      <c r="R124" s="803" t="s">
        <v>769</v>
      </c>
      <c r="S124" s="803" t="s">
        <v>86</v>
      </c>
      <c r="T124" s="803" t="s">
        <v>770</v>
      </c>
      <c r="U124" s="804">
        <v>113257845</v>
      </c>
      <c r="V124" s="804">
        <v>149207</v>
      </c>
      <c r="W124" s="805">
        <v>111.3</v>
      </c>
      <c r="X124" s="806" t="s">
        <v>771</v>
      </c>
    </row>
    <row r="125" spans="1:24" ht="14.25" customHeight="1">
      <c r="A125" s="787">
        <v>521208</v>
      </c>
      <c r="B125" s="788" t="s">
        <v>772</v>
      </c>
      <c r="C125" s="789" t="s">
        <v>86</v>
      </c>
      <c r="D125" s="790" t="s">
        <v>610</v>
      </c>
      <c r="E125" s="791">
        <v>103915615</v>
      </c>
      <c r="F125" s="792">
        <v>-118354.72604425489</v>
      </c>
      <c r="G125" s="793">
        <f>-F125*VLOOKUP(D125,'Factores Emisión EDGE'!$K$168:$L$203,2,FALSE)/1000</f>
        <v>28.726678003243684</v>
      </c>
      <c r="H125" s="434"/>
      <c r="I125" s="794">
        <v>521208</v>
      </c>
      <c r="J125" s="795" t="s">
        <v>772</v>
      </c>
      <c r="K125" s="795" t="s">
        <v>598</v>
      </c>
      <c r="L125" s="796" t="s">
        <v>610</v>
      </c>
      <c r="M125" s="797">
        <v>103366668</v>
      </c>
      <c r="N125" s="798">
        <v>134010</v>
      </c>
      <c r="O125" s="799">
        <v>32.53</v>
      </c>
      <c r="P125" s="445">
        <f t="shared" si="31"/>
        <v>526104</v>
      </c>
      <c r="Q125" s="801">
        <v>526104</v>
      </c>
      <c r="R125" s="801" t="s">
        <v>718</v>
      </c>
      <c r="S125" s="801" t="s">
        <v>86</v>
      </c>
      <c r="T125" s="801" t="s">
        <v>619</v>
      </c>
      <c r="U125" s="437">
        <v>112327258</v>
      </c>
      <c r="V125" s="437">
        <v>147981</v>
      </c>
      <c r="W125" s="457">
        <v>31.6</v>
      </c>
      <c r="X125" s="654"/>
    </row>
    <row r="126" spans="1:24" ht="14.25" customHeight="1">
      <c r="A126" s="787">
        <v>526303</v>
      </c>
      <c r="B126" s="788" t="s">
        <v>773</v>
      </c>
      <c r="C126" s="789" t="s">
        <v>86</v>
      </c>
      <c r="D126" s="790" t="s">
        <v>619</v>
      </c>
      <c r="E126" s="791">
        <v>118814561</v>
      </c>
      <c r="F126" s="792">
        <v>-134581.33759382914</v>
      </c>
      <c r="G126" s="793">
        <f>-F126*VLOOKUP(D126,'Factores Emisión EDGE'!$K$168:$L$203,2,FALSE)/1000</f>
        <v>28.709456177133525</v>
      </c>
      <c r="H126" s="434"/>
      <c r="I126" s="794">
        <v>562903</v>
      </c>
      <c r="J126" s="795" t="s">
        <v>774</v>
      </c>
      <c r="K126" s="795" t="s">
        <v>598</v>
      </c>
      <c r="L126" s="796" t="s">
        <v>613</v>
      </c>
      <c r="M126" s="797">
        <v>102223713</v>
      </c>
      <c r="N126" s="798">
        <v>137028</v>
      </c>
      <c r="O126" s="799">
        <v>32.28</v>
      </c>
      <c r="P126" s="445">
        <f t="shared" si="31"/>
        <v>526401</v>
      </c>
      <c r="Q126" s="457">
        <v>526401</v>
      </c>
      <c r="R126" s="457" t="s">
        <v>755</v>
      </c>
      <c r="S126" s="457" t="s">
        <v>86</v>
      </c>
      <c r="T126" s="457" t="s">
        <v>597</v>
      </c>
      <c r="U126" s="437">
        <v>109964105</v>
      </c>
      <c r="V126" s="437">
        <v>144868</v>
      </c>
      <c r="W126" s="457">
        <v>72.2</v>
      </c>
      <c r="X126" s="654"/>
    </row>
    <row r="127" spans="1:24" ht="14.25" customHeight="1">
      <c r="A127" s="787">
        <v>562106</v>
      </c>
      <c r="B127" s="788" t="s">
        <v>753</v>
      </c>
      <c r="C127" s="789" t="s">
        <v>86</v>
      </c>
      <c r="D127" s="790" t="s">
        <v>612</v>
      </c>
      <c r="E127" s="791">
        <v>134350313</v>
      </c>
      <c r="F127" s="792">
        <v>-153326.53656099425</v>
      </c>
      <c r="G127" s="793">
        <f>-F127*VLOOKUP(D127,'Factores Emisión EDGE'!$K$168:$L$203,2,FALSE)/1000</f>
        <v>27.623298093971162</v>
      </c>
      <c r="H127" s="434"/>
      <c r="I127" s="794">
        <v>526303</v>
      </c>
      <c r="J127" s="795" t="s">
        <v>773</v>
      </c>
      <c r="K127" s="795" t="s">
        <v>598</v>
      </c>
      <c r="L127" s="796" t="s">
        <v>619</v>
      </c>
      <c r="M127" s="797">
        <v>88516937</v>
      </c>
      <c r="N127" s="798">
        <v>117049</v>
      </c>
      <c r="O127" s="799">
        <v>24.97</v>
      </c>
      <c r="P127" s="445">
        <f t="shared" si="31"/>
        <v>565601</v>
      </c>
      <c r="Q127" s="457">
        <v>565601</v>
      </c>
      <c r="R127" s="457" t="s">
        <v>721</v>
      </c>
      <c r="S127" s="457" t="s">
        <v>86</v>
      </c>
      <c r="T127" s="457" t="s">
        <v>603</v>
      </c>
      <c r="U127" s="437">
        <v>99568517</v>
      </c>
      <c r="V127" s="437">
        <v>131172</v>
      </c>
      <c r="W127" s="457">
        <v>30.4</v>
      </c>
      <c r="X127" s="654"/>
    </row>
    <row r="128" spans="1:24" ht="14.25" customHeight="1">
      <c r="A128" s="787">
        <v>526555</v>
      </c>
      <c r="B128" s="788" t="s">
        <v>757</v>
      </c>
      <c r="C128" s="789" t="s">
        <v>86</v>
      </c>
      <c r="D128" s="790" t="s">
        <v>615</v>
      </c>
      <c r="E128" s="791">
        <v>68049189</v>
      </c>
      <c r="F128" s="792">
        <v>-76280.542946816451</v>
      </c>
      <c r="G128" s="793">
        <f>-F128*VLOOKUP(D128,'Factores Emisión EDGE'!$K$168:$L$203,2,FALSE)/1000</f>
        <v>26.417143524563365</v>
      </c>
      <c r="H128" s="434"/>
      <c r="I128" s="794">
        <v>565951</v>
      </c>
      <c r="J128" s="795" t="s">
        <v>775</v>
      </c>
      <c r="K128" s="795" t="s">
        <v>598</v>
      </c>
      <c r="L128" s="796" t="s">
        <v>599</v>
      </c>
      <c r="M128" s="797">
        <v>53395230</v>
      </c>
      <c r="N128" s="798">
        <v>70386</v>
      </c>
      <c r="O128" s="799">
        <v>24.58</v>
      </c>
      <c r="P128" s="445">
        <f t="shared" si="31"/>
        <v>562903</v>
      </c>
      <c r="Q128" s="457">
        <v>562903</v>
      </c>
      <c r="R128" s="457" t="s">
        <v>776</v>
      </c>
      <c r="S128" s="457" t="s">
        <v>86</v>
      </c>
      <c r="T128" s="457" t="s">
        <v>613</v>
      </c>
      <c r="U128" s="437">
        <v>96750098</v>
      </c>
      <c r="V128" s="437">
        <v>127459</v>
      </c>
      <c r="W128" s="457">
        <v>30</v>
      </c>
      <c r="X128" s="654"/>
    </row>
    <row r="129" spans="1:24" ht="14.25" customHeight="1">
      <c r="A129" s="787">
        <v>565105</v>
      </c>
      <c r="B129" s="788" t="s">
        <v>730</v>
      </c>
      <c r="C129" s="789" t="s">
        <v>86</v>
      </c>
      <c r="D129" s="790" t="s">
        <v>615</v>
      </c>
      <c r="E129" s="791">
        <v>63407079</v>
      </c>
      <c r="F129" s="792">
        <v>-70537.813691654359</v>
      </c>
      <c r="G129" s="793">
        <f>-F129*VLOOKUP(D129,'Factores Emisión EDGE'!$K$168:$L$203,2,FALSE)/1000</f>
        <v>24.428346682069769</v>
      </c>
      <c r="H129" s="434"/>
      <c r="I129" s="794">
        <v>562301</v>
      </c>
      <c r="J129" s="795" t="s">
        <v>777</v>
      </c>
      <c r="K129" s="795" t="s">
        <v>598</v>
      </c>
      <c r="L129" s="796" t="s">
        <v>601</v>
      </c>
      <c r="M129" s="797">
        <v>77324894</v>
      </c>
      <c r="N129" s="798">
        <v>97047</v>
      </c>
      <c r="O129" s="799">
        <v>23.81</v>
      </c>
      <c r="P129" s="445">
        <f t="shared" si="31"/>
        <v>565301</v>
      </c>
      <c r="Q129" s="457">
        <v>565301</v>
      </c>
      <c r="R129" s="457" t="s">
        <v>763</v>
      </c>
      <c r="S129" s="457" t="s">
        <v>86</v>
      </c>
      <c r="T129" s="457" t="s">
        <v>620</v>
      </c>
      <c r="U129" s="437">
        <v>93461473</v>
      </c>
      <c r="V129" s="437">
        <v>123127</v>
      </c>
      <c r="W129" s="457">
        <v>40.799999999999997</v>
      </c>
      <c r="X129" s="654"/>
    </row>
    <row r="130" spans="1:24" ht="14.25" customHeight="1">
      <c r="A130" s="787">
        <v>525504</v>
      </c>
      <c r="B130" s="788" t="s">
        <v>778</v>
      </c>
      <c r="C130" s="789" t="s">
        <v>86</v>
      </c>
      <c r="D130" s="790" t="s">
        <v>615</v>
      </c>
      <c r="E130" s="791">
        <v>57768826</v>
      </c>
      <c r="F130" s="792">
        <v>-65600.717267969638</v>
      </c>
      <c r="G130" s="793">
        <f>-F130*VLOOKUP(D130,'Factores Emisión EDGE'!$K$168:$L$203,2,FALSE)/1000</f>
        <v>22.71855307310161</v>
      </c>
      <c r="H130" s="434"/>
      <c r="I130" s="794">
        <v>525504</v>
      </c>
      <c r="J130" s="795" t="s">
        <v>778</v>
      </c>
      <c r="K130" s="795" t="s">
        <v>598</v>
      </c>
      <c r="L130" s="796" t="s">
        <v>615</v>
      </c>
      <c r="M130" s="797">
        <v>41314000</v>
      </c>
      <c r="N130" s="798">
        <v>54660</v>
      </c>
      <c r="O130" s="799">
        <v>18.93</v>
      </c>
      <c r="P130" s="445">
        <f t="shared" si="31"/>
        <v>526102</v>
      </c>
      <c r="Q130" s="457">
        <v>526102</v>
      </c>
      <c r="R130" s="457" t="s">
        <v>763</v>
      </c>
      <c r="S130" s="457" t="s">
        <v>86</v>
      </c>
      <c r="T130" s="457" t="s">
        <v>620</v>
      </c>
      <c r="U130" s="437">
        <v>89327028</v>
      </c>
      <c r="V130" s="437">
        <v>117680</v>
      </c>
      <c r="W130" s="457">
        <v>39</v>
      </c>
      <c r="X130" s="654"/>
    </row>
    <row r="131" spans="1:24" ht="14.25" customHeight="1">
      <c r="A131" s="787">
        <v>562205</v>
      </c>
      <c r="B131" s="788" t="s">
        <v>779</v>
      </c>
      <c r="C131" s="789" t="s">
        <v>86</v>
      </c>
      <c r="D131" s="790" t="s">
        <v>610</v>
      </c>
      <c r="E131" s="791">
        <v>85620772</v>
      </c>
      <c r="F131" s="792">
        <v>-93183.823686667296</v>
      </c>
      <c r="G131" s="793">
        <f>-F131*VLOOKUP(D131,'Factores Emisión EDGE'!$K$168:$L$203,2,FALSE)/1000</f>
        <v>22.617277633315613</v>
      </c>
      <c r="H131" s="434"/>
      <c r="I131" s="794">
        <v>521301</v>
      </c>
      <c r="J131" s="795" t="s">
        <v>777</v>
      </c>
      <c r="K131" s="795" t="s">
        <v>598</v>
      </c>
      <c r="L131" s="796" t="s">
        <v>601</v>
      </c>
      <c r="M131" s="797">
        <v>51320175</v>
      </c>
      <c r="N131" s="798">
        <v>66919</v>
      </c>
      <c r="O131" s="799">
        <v>16.420000000000002</v>
      </c>
      <c r="P131" s="445">
        <f t="shared" si="31"/>
        <v>526303</v>
      </c>
      <c r="Q131" s="457">
        <v>526303</v>
      </c>
      <c r="R131" s="457" t="s">
        <v>780</v>
      </c>
      <c r="S131" s="457" t="s">
        <v>86</v>
      </c>
      <c r="T131" s="457" t="s">
        <v>619</v>
      </c>
      <c r="U131" s="437">
        <v>81931089</v>
      </c>
      <c r="V131" s="437">
        <v>107937</v>
      </c>
      <c r="W131" s="457">
        <v>23</v>
      </c>
      <c r="X131" s="654"/>
    </row>
    <row r="132" spans="1:24" ht="14.25" customHeight="1">
      <c r="A132" s="787">
        <v>565951</v>
      </c>
      <c r="B132" s="788" t="s">
        <v>775</v>
      </c>
      <c r="C132" s="789" t="s">
        <v>86</v>
      </c>
      <c r="D132" s="790" t="s">
        <v>599</v>
      </c>
      <c r="E132" s="791">
        <v>55302846</v>
      </c>
      <c r="F132" s="792">
        <v>-62865.970066042166</v>
      </c>
      <c r="G132" s="793">
        <f>-F132*VLOOKUP(D132,'Factores Emisión EDGE'!$K$168:$L$203,2,FALSE)/1000</f>
        <v>21.953837178866518</v>
      </c>
      <c r="H132" s="434"/>
      <c r="I132" s="794">
        <v>525906</v>
      </c>
      <c r="J132" s="795" t="s">
        <v>781</v>
      </c>
      <c r="K132" s="795" t="s">
        <v>598</v>
      </c>
      <c r="L132" s="796" t="s">
        <v>609</v>
      </c>
      <c r="M132" s="797">
        <v>51553072</v>
      </c>
      <c r="N132" s="798">
        <v>69465</v>
      </c>
      <c r="O132" s="799">
        <v>16.399999999999999</v>
      </c>
      <c r="P132" s="445">
        <f t="shared" si="31"/>
        <v>526710</v>
      </c>
      <c r="Q132" s="457">
        <v>526710</v>
      </c>
      <c r="R132" s="457" t="s">
        <v>719</v>
      </c>
      <c r="S132" s="457" t="s">
        <v>86</v>
      </c>
      <c r="T132" s="457" t="s">
        <v>620</v>
      </c>
      <c r="U132" s="437">
        <v>81567063</v>
      </c>
      <c r="V132" s="437">
        <v>107457</v>
      </c>
      <c r="W132" s="457">
        <v>35.6</v>
      </c>
      <c r="X132" s="654"/>
    </row>
    <row r="133" spans="1:24" ht="14.25" customHeight="1">
      <c r="A133" s="787">
        <v>562903</v>
      </c>
      <c r="B133" s="788" t="s">
        <v>774</v>
      </c>
      <c r="C133" s="789" t="s">
        <v>86</v>
      </c>
      <c r="D133" s="790" t="s">
        <v>613</v>
      </c>
      <c r="E133" s="791">
        <v>63518780</v>
      </c>
      <c r="F133" s="792">
        <v>-72297.965088528654</v>
      </c>
      <c r="G133" s="793">
        <f>-F133*VLOOKUP(D133,'Factores Emisión EDGE'!$K$168:$L$203,2,FALSE)/1000</f>
        <v>17.033485886456155</v>
      </c>
      <c r="H133" s="434"/>
      <c r="I133" s="794">
        <v>562209</v>
      </c>
      <c r="J133" s="795" t="s">
        <v>782</v>
      </c>
      <c r="K133" s="795" t="s">
        <v>598</v>
      </c>
      <c r="L133" s="796" t="s">
        <v>612</v>
      </c>
      <c r="M133" s="797">
        <v>65460407</v>
      </c>
      <c r="N133" s="798">
        <v>84911</v>
      </c>
      <c r="O133" s="799">
        <v>15.3</v>
      </c>
      <c r="P133" s="445">
        <f t="shared" si="31"/>
        <v>565105</v>
      </c>
      <c r="Q133" s="457">
        <v>565105</v>
      </c>
      <c r="R133" s="457" t="s">
        <v>730</v>
      </c>
      <c r="S133" s="457" t="s">
        <v>86</v>
      </c>
      <c r="T133" s="457" t="s">
        <v>615</v>
      </c>
      <c r="U133" s="437">
        <v>74849239</v>
      </c>
      <c r="V133" s="437">
        <v>98607</v>
      </c>
      <c r="W133" s="457">
        <v>34.1</v>
      </c>
      <c r="X133" s="654"/>
    </row>
    <row r="134" spans="1:24" ht="14.25" customHeight="1">
      <c r="A134" s="787">
        <v>562208</v>
      </c>
      <c r="B134" s="788" t="s">
        <v>772</v>
      </c>
      <c r="C134" s="789" t="s">
        <v>86</v>
      </c>
      <c r="D134" s="790" t="s">
        <v>610</v>
      </c>
      <c r="E134" s="791">
        <v>47137099</v>
      </c>
      <c r="F134" s="792">
        <v>-53354.273140299563</v>
      </c>
      <c r="G134" s="793">
        <f>-F134*VLOOKUP(D134,'Factores Emisión EDGE'!$K$168:$L$203,2,FALSE)/1000</f>
        <v>12.949977375853997</v>
      </c>
      <c r="H134" s="434"/>
      <c r="I134" s="794">
        <v>525505</v>
      </c>
      <c r="J134" s="795" t="s">
        <v>783</v>
      </c>
      <c r="K134" s="795" t="s">
        <v>598</v>
      </c>
      <c r="L134" s="796" t="s">
        <v>613</v>
      </c>
      <c r="M134" s="797">
        <v>44658278</v>
      </c>
      <c r="N134" s="798">
        <v>62809</v>
      </c>
      <c r="O134" s="799">
        <v>14.8</v>
      </c>
      <c r="P134" s="445">
        <f t="shared" si="31"/>
        <v>526103</v>
      </c>
      <c r="Q134" s="457">
        <v>526103</v>
      </c>
      <c r="R134" s="457" t="s">
        <v>725</v>
      </c>
      <c r="S134" s="457" t="s">
        <v>86</v>
      </c>
      <c r="T134" s="457" t="s">
        <v>732</v>
      </c>
      <c r="U134" s="437">
        <v>73746402</v>
      </c>
      <c r="V134" s="437">
        <v>97154</v>
      </c>
      <c r="W134" s="457">
        <v>20.100000000000001</v>
      </c>
      <c r="X134" s="654"/>
    </row>
    <row r="135" spans="1:24" ht="14.25" customHeight="1">
      <c r="A135" s="787">
        <v>565103</v>
      </c>
      <c r="B135" s="788" t="s">
        <v>784</v>
      </c>
      <c r="C135" s="789" t="s">
        <v>86</v>
      </c>
      <c r="D135" s="790" t="s">
        <v>612</v>
      </c>
      <c r="E135" s="791">
        <v>56613767</v>
      </c>
      <c r="F135" s="792">
        <v>-64089.077585265644</v>
      </c>
      <c r="G135" s="793">
        <f>-F135*VLOOKUP(D135,'Factores Emisión EDGE'!$K$168:$L$203,2,FALSE)/1000</f>
        <v>11.546283731526028</v>
      </c>
      <c r="H135" s="434"/>
      <c r="I135" s="794">
        <v>565603</v>
      </c>
      <c r="J135" s="795" t="s">
        <v>746</v>
      </c>
      <c r="K135" s="795" t="s">
        <v>598</v>
      </c>
      <c r="L135" s="796" t="s">
        <v>603</v>
      </c>
      <c r="M135" s="797">
        <v>47010113</v>
      </c>
      <c r="N135" s="798">
        <v>62969</v>
      </c>
      <c r="O135" s="799">
        <v>14.58</v>
      </c>
      <c r="P135" s="445">
        <f t="shared" si="31"/>
        <v>521301</v>
      </c>
      <c r="Q135" s="457">
        <v>521301</v>
      </c>
      <c r="R135" s="457" t="s">
        <v>785</v>
      </c>
      <c r="S135" s="457" t="s">
        <v>86</v>
      </c>
      <c r="T135" s="457" t="s">
        <v>601</v>
      </c>
      <c r="U135" s="437">
        <v>65883552</v>
      </c>
      <c r="V135" s="437">
        <v>86795</v>
      </c>
      <c r="W135" s="457">
        <v>21.3</v>
      </c>
      <c r="X135" s="654"/>
    </row>
    <row r="136" spans="1:24" ht="14.25" customHeight="1">
      <c r="A136" s="787">
        <v>565110</v>
      </c>
      <c r="B136" s="788" t="s">
        <v>757</v>
      </c>
      <c r="C136" s="789" t="s">
        <v>86</v>
      </c>
      <c r="D136" s="790" t="s">
        <v>615</v>
      </c>
      <c r="E136" s="791">
        <v>29090139</v>
      </c>
      <c r="F136" s="792">
        <v>-31271.994875353776</v>
      </c>
      <c r="G136" s="793">
        <f>-F136*VLOOKUP(D136,'Factores Emisión EDGE'!$K$168:$L$203,2,FALSE)/1000</f>
        <v>10.829980293894964</v>
      </c>
      <c r="H136" s="434"/>
      <c r="I136" s="794">
        <v>562302</v>
      </c>
      <c r="J136" s="795" t="s">
        <v>786</v>
      </c>
      <c r="K136" s="795" t="s">
        <v>598</v>
      </c>
      <c r="L136" s="796" t="s">
        <v>601</v>
      </c>
      <c r="M136" s="797">
        <v>46206779</v>
      </c>
      <c r="N136" s="798">
        <v>57906</v>
      </c>
      <c r="O136" s="799">
        <v>14.21</v>
      </c>
      <c r="P136" s="445">
        <f t="shared" si="31"/>
        <v>562301</v>
      </c>
      <c r="Q136" s="457">
        <v>562301</v>
      </c>
      <c r="R136" s="457" t="s">
        <v>785</v>
      </c>
      <c r="S136" s="457" t="s">
        <v>86</v>
      </c>
      <c r="T136" s="457" t="s">
        <v>601</v>
      </c>
      <c r="U136" s="437">
        <v>63521616</v>
      </c>
      <c r="V136" s="437">
        <v>83684</v>
      </c>
      <c r="W136" s="457">
        <v>20.5</v>
      </c>
      <c r="X136" s="654"/>
    </row>
    <row r="137" spans="1:24" ht="14.25" customHeight="1">
      <c r="A137" s="787">
        <v>562209</v>
      </c>
      <c r="B137" s="788" t="s">
        <v>782</v>
      </c>
      <c r="C137" s="789" t="s">
        <v>86</v>
      </c>
      <c r="D137" s="790" t="s">
        <v>612</v>
      </c>
      <c r="E137" s="791">
        <v>51582111</v>
      </c>
      <c r="F137" s="792">
        <v>-58288.638983818681</v>
      </c>
      <c r="G137" s="793">
        <f>-F137*VLOOKUP(D137,'Factores Emisión EDGE'!$K$168:$L$203,2,FALSE)/1000</f>
        <v>10.501277119120045</v>
      </c>
      <c r="H137" s="434"/>
      <c r="I137" s="794">
        <v>565104</v>
      </c>
      <c r="J137" s="795" t="s">
        <v>722</v>
      </c>
      <c r="K137" s="795" t="s">
        <v>598</v>
      </c>
      <c r="L137" s="796" t="s">
        <v>606</v>
      </c>
      <c r="M137" s="797">
        <v>43419177</v>
      </c>
      <c r="N137" s="798">
        <v>57677</v>
      </c>
      <c r="O137" s="799">
        <v>14</v>
      </c>
      <c r="P137" s="445">
        <f t="shared" si="31"/>
        <v>526502</v>
      </c>
      <c r="Q137" s="457">
        <v>526502</v>
      </c>
      <c r="R137" s="457" t="s">
        <v>726</v>
      </c>
      <c r="S137" s="457" t="s">
        <v>86</v>
      </c>
      <c r="T137" s="457" t="s">
        <v>610</v>
      </c>
      <c r="U137" s="437">
        <v>57322805</v>
      </c>
      <c r="V137" s="437">
        <v>75517</v>
      </c>
      <c r="W137" s="457">
        <v>18.3</v>
      </c>
      <c r="X137" s="654"/>
    </row>
    <row r="138" spans="1:24" ht="14.25" customHeight="1">
      <c r="A138" s="787">
        <v>521301</v>
      </c>
      <c r="B138" s="788" t="s">
        <v>777</v>
      </c>
      <c r="C138" s="789" t="s">
        <v>86</v>
      </c>
      <c r="D138" s="790" t="s">
        <v>601</v>
      </c>
      <c r="E138" s="791">
        <v>37297687</v>
      </c>
      <c r="F138" s="792">
        <v>-41575.967633406246</v>
      </c>
      <c r="G138" s="793">
        <f>-F138*VLOOKUP(D138,'Factores Emisión EDGE'!$K$168:$L$203,2,FALSE)/1000</f>
        <v>10.201895554777201</v>
      </c>
      <c r="H138" s="434"/>
      <c r="I138" s="794">
        <v>565103</v>
      </c>
      <c r="J138" s="795" t="s">
        <v>784</v>
      </c>
      <c r="K138" s="795" t="s">
        <v>598</v>
      </c>
      <c r="L138" s="796" t="s">
        <v>612</v>
      </c>
      <c r="M138" s="797">
        <v>53646262</v>
      </c>
      <c r="N138" s="798">
        <v>70695</v>
      </c>
      <c r="O138" s="799">
        <v>12.74</v>
      </c>
      <c r="P138" s="445">
        <f t="shared" si="31"/>
        <v>565103</v>
      </c>
      <c r="Q138" s="457">
        <v>565103</v>
      </c>
      <c r="R138" s="457" t="s">
        <v>784</v>
      </c>
      <c r="S138" s="457" t="s">
        <v>86</v>
      </c>
      <c r="T138" s="457" t="s">
        <v>612</v>
      </c>
      <c r="U138" s="437">
        <v>53646262</v>
      </c>
      <c r="V138" s="437">
        <v>70674</v>
      </c>
      <c r="W138" s="457">
        <v>12.7</v>
      </c>
      <c r="X138" s="654"/>
    </row>
    <row r="139" spans="1:24" ht="14.25" customHeight="1">
      <c r="A139" s="787">
        <v>562301</v>
      </c>
      <c r="B139" s="788" t="s">
        <v>777</v>
      </c>
      <c r="C139" s="789" t="s">
        <v>86</v>
      </c>
      <c r="D139" s="790" t="s">
        <v>601</v>
      </c>
      <c r="E139" s="791">
        <v>37217952</v>
      </c>
      <c r="F139" s="792">
        <v>-40012.278231192642</v>
      </c>
      <c r="G139" s="793">
        <f>-F139*VLOOKUP(D139,'Factores Emisión EDGE'!$K$168:$L$203,2,FALSE)/1000</f>
        <v>9.8181980278271048</v>
      </c>
      <c r="H139" s="434"/>
      <c r="I139" s="794">
        <v>562205</v>
      </c>
      <c r="J139" s="795" t="s">
        <v>779</v>
      </c>
      <c r="K139" s="795" t="s">
        <v>598</v>
      </c>
      <c r="L139" s="796" t="s">
        <v>610</v>
      </c>
      <c r="M139" s="797">
        <v>38151021</v>
      </c>
      <c r="N139" s="798">
        <v>50626</v>
      </c>
      <c r="O139" s="799">
        <v>12.29</v>
      </c>
      <c r="P139" s="445">
        <f t="shared" si="31"/>
        <v>565202</v>
      </c>
      <c r="Q139" s="457">
        <v>565202</v>
      </c>
      <c r="R139" s="457" t="s">
        <v>734</v>
      </c>
      <c r="S139" s="457" t="s">
        <v>86</v>
      </c>
      <c r="T139" s="457" t="s">
        <v>732</v>
      </c>
      <c r="U139" s="437">
        <v>52876761</v>
      </c>
      <c r="V139" s="437">
        <v>69660</v>
      </c>
      <c r="W139" s="457">
        <v>14.4</v>
      </c>
      <c r="X139" s="654"/>
    </row>
    <row r="140" spans="1:24" ht="14.25" customHeight="1">
      <c r="A140" s="787">
        <v>521203</v>
      </c>
      <c r="B140" s="788" t="s">
        <v>787</v>
      </c>
      <c r="C140" s="789" t="s">
        <v>86</v>
      </c>
      <c r="D140" s="790" t="s">
        <v>610</v>
      </c>
      <c r="E140" s="791">
        <v>36229392</v>
      </c>
      <c r="F140" s="792">
        <v>-40282.413508789024</v>
      </c>
      <c r="G140" s="793">
        <f>-F140*VLOOKUP(D140,'Factores Emisión EDGE'!$K$168:$L$203,2,FALSE)/1000</f>
        <v>9.7772176974817739</v>
      </c>
      <c r="H140" s="434"/>
      <c r="I140" s="794">
        <v>565110</v>
      </c>
      <c r="J140" s="795" t="s">
        <v>757</v>
      </c>
      <c r="K140" s="795" t="s">
        <v>598</v>
      </c>
      <c r="L140" s="796" t="s">
        <v>615</v>
      </c>
      <c r="M140" s="797">
        <v>25333698</v>
      </c>
      <c r="N140" s="798">
        <v>34609</v>
      </c>
      <c r="O140" s="799">
        <v>11.99</v>
      </c>
      <c r="P140" s="445">
        <f t="shared" si="31"/>
        <v>525906</v>
      </c>
      <c r="Q140" s="457">
        <v>525906</v>
      </c>
      <c r="R140" s="457" t="s">
        <v>788</v>
      </c>
      <c r="S140" s="457" t="s">
        <v>86</v>
      </c>
      <c r="T140" s="457" t="s">
        <v>609</v>
      </c>
      <c r="U140" s="437">
        <v>49967904</v>
      </c>
      <c r="V140" s="437">
        <v>65828</v>
      </c>
      <c r="W140" s="457">
        <v>15.5</v>
      </c>
      <c r="X140" s="654"/>
    </row>
    <row r="141" spans="1:24" ht="14.25" customHeight="1">
      <c r="A141" s="787">
        <v>567104</v>
      </c>
      <c r="B141" s="788" t="s">
        <v>789</v>
      </c>
      <c r="C141" s="789" t="s">
        <v>86</v>
      </c>
      <c r="D141" s="790" t="s">
        <v>609</v>
      </c>
      <c r="E141" s="791">
        <v>32216226</v>
      </c>
      <c r="F141" s="792">
        <v>-37504.275080564417</v>
      </c>
      <c r="G141" s="793">
        <f>-F141*VLOOKUP(D141,'Factores Emisión EDGE'!$K$168:$L$203,2,FALSE)/1000</f>
        <v>8.8549937482405117</v>
      </c>
      <c r="H141" s="434"/>
      <c r="I141" s="794">
        <v>565404</v>
      </c>
      <c r="J141" s="795" t="s">
        <v>790</v>
      </c>
      <c r="K141" s="795" t="s">
        <v>598</v>
      </c>
      <c r="L141" s="796" t="s">
        <v>617</v>
      </c>
      <c r="M141" s="797">
        <v>33969382</v>
      </c>
      <c r="N141" s="798">
        <v>45321</v>
      </c>
      <c r="O141" s="799">
        <v>10.68</v>
      </c>
      <c r="P141" s="445">
        <f t="shared" si="31"/>
        <v>521205</v>
      </c>
      <c r="Q141" s="457">
        <v>521205</v>
      </c>
      <c r="R141" s="457" t="s">
        <v>791</v>
      </c>
      <c r="S141" s="457" t="s">
        <v>86</v>
      </c>
      <c r="T141" s="457" t="s">
        <v>610</v>
      </c>
      <c r="U141" s="437">
        <v>48167607</v>
      </c>
      <c r="V141" s="437">
        <v>63456</v>
      </c>
      <c r="W141" s="457">
        <v>15.4</v>
      </c>
      <c r="X141" s="654"/>
    </row>
    <row r="142" spans="1:24" ht="14.25" customHeight="1">
      <c r="A142" s="787">
        <v>565405</v>
      </c>
      <c r="B142" s="788" t="s">
        <v>792</v>
      </c>
      <c r="C142" s="789" t="s">
        <v>86</v>
      </c>
      <c r="D142" s="790" t="s">
        <v>619</v>
      </c>
      <c r="E142" s="791">
        <v>35497825</v>
      </c>
      <c r="F142" s="792">
        <v>-40119.331534329744</v>
      </c>
      <c r="G142" s="793">
        <f>-F142*VLOOKUP(D142,'Factores Emisión EDGE'!$K$168:$L$203,2,FALSE)/1000</f>
        <v>8.5584243040956647</v>
      </c>
      <c r="H142" s="434"/>
      <c r="I142" s="794">
        <v>521205</v>
      </c>
      <c r="J142" s="795" t="s">
        <v>793</v>
      </c>
      <c r="K142" s="795" t="s">
        <v>598</v>
      </c>
      <c r="L142" s="796" t="s">
        <v>610</v>
      </c>
      <c r="M142" s="797">
        <v>29667895</v>
      </c>
      <c r="N142" s="798">
        <v>43571</v>
      </c>
      <c r="O142" s="799">
        <v>10.58</v>
      </c>
      <c r="P142" s="445">
        <f t="shared" si="31"/>
        <v>562209</v>
      </c>
      <c r="Q142" s="457">
        <v>562209</v>
      </c>
      <c r="R142" s="457" t="s">
        <v>794</v>
      </c>
      <c r="S142" s="457" t="s">
        <v>86</v>
      </c>
      <c r="T142" s="457" t="s">
        <v>612</v>
      </c>
      <c r="U142" s="437">
        <v>47198489</v>
      </c>
      <c r="V142" s="437">
        <v>62180</v>
      </c>
      <c r="W142" s="457">
        <v>11.2</v>
      </c>
      <c r="X142" s="654"/>
    </row>
    <row r="143" spans="1:24" ht="14.25" customHeight="1">
      <c r="A143" s="787">
        <v>565956</v>
      </c>
      <c r="B143" s="788" t="s">
        <v>795</v>
      </c>
      <c r="C143" s="789" t="s">
        <v>86</v>
      </c>
      <c r="D143" s="790" t="s">
        <v>610</v>
      </c>
      <c r="E143" s="791">
        <v>24647678</v>
      </c>
      <c r="F143" s="792">
        <v>-27124.064558389488</v>
      </c>
      <c r="G143" s="793">
        <f>-F143*VLOOKUP(D143,'Factores Emisión EDGE'!$K$168:$L$203,2,FALSE)/1000</f>
        <v>6.583465610124418</v>
      </c>
      <c r="H143" s="434"/>
      <c r="I143" s="794">
        <v>565405</v>
      </c>
      <c r="J143" s="795" t="s">
        <v>792</v>
      </c>
      <c r="K143" s="795" t="s">
        <v>598</v>
      </c>
      <c r="L143" s="796" t="s">
        <v>619</v>
      </c>
      <c r="M143" s="797">
        <v>29518215</v>
      </c>
      <c r="N143" s="798">
        <v>38886</v>
      </c>
      <c r="O143" s="799">
        <v>8.3000000000000007</v>
      </c>
      <c r="P143" s="445">
        <f t="shared" si="31"/>
        <v>565201</v>
      </c>
      <c r="Q143" s="457">
        <v>565201</v>
      </c>
      <c r="R143" s="457" t="s">
        <v>728</v>
      </c>
      <c r="S143" s="457" t="s">
        <v>86</v>
      </c>
      <c r="T143" s="457" t="s">
        <v>619</v>
      </c>
      <c r="U143" s="437">
        <v>45685629</v>
      </c>
      <c r="V143" s="437">
        <v>60187</v>
      </c>
      <c r="W143" s="457">
        <v>12.8</v>
      </c>
      <c r="X143" s="654"/>
    </row>
    <row r="144" spans="1:24" ht="14.25" customHeight="1">
      <c r="A144" s="787">
        <v>565107</v>
      </c>
      <c r="B144" s="788" t="s">
        <v>755</v>
      </c>
      <c r="C144" s="789" t="s">
        <v>86</v>
      </c>
      <c r="D144" s="790" t="s">
        <v>597</v>
      </c>
      <c r="E144" s="791">
        <v>11377941</v>
      </c>
      <c r="F144" s="792">
        <v>-13124.433923198882</v>
      </c>
      <c r="G144" s="793">
        <f>-F144*VLOOKUP(D144,'Factores Emisión EDGE'!$K$168:$L$203,2,FALSE)/1000</f>
        <v>6.5376971066780856</v>
      </c>
      <c r="H144" s="434"/>
      <c r="I144" s="794">
        <v>521209</v>
      </c>
      <c r="J144" s="795" t="s">
        <v>796</v>
      </c>
      <c r="K144" s="795" t="s">
        <v>598</v>
      </c>
      <c r="L144" s="796" t="s">
        <v>612</v>
      </c>
      <c r="M144" s="797">
        <v>34080705</v>
      </c>
      <c r="N144" s="798">
        <v>43813</v>
      </c>
      <c r="O144" s="799">
        <v>7.89</v>
      </c>
      <c r="P144" s="445">
        <f t="shared" si="31"/>
        <v>565603</v>
      </c>
      <c r="Q144" s="457">
        <v>565603</v>
      </c>
      <c r="R144" s="457" t="s">
        <v>797</v>
      </c>
      <c r="S144" s="457" t="s">
        <v>86</v>
      </c>
      <c r="T144" s="457" t="s">
        <v>603</v>
      </c>
      <c r="U144" s="437">
        <v>45291699</v>
      </c>
      <c r="V144" s="437">
        <v>59668</v>
      </c>
      <c r="W144" s="457">
        <v>13.8</v>
      </c>
      <c r="X144" s="654"/>
    </row>
    <row r="145" spans="1:24" ht="14.25" customHeight="1">
      <c r="A145" s="787">
        <v>562203</v>
      </c>
      <c r="B145" s="788" t="s">
        <v>787</v>
      </c>
      <c r="C145" s="789" t="s">
        <v>86</v>
      </c>
      <c r="D145" s="790" t="s">
        <v>610</v>
      </c>
      <c r="E145" s="791">
        <v>20927847</v>
      </c>
      <c r="F145" s="792">
        <v>-23881.442261828528</v>
      </c>
      <c r="G145" s="793">
        <f>-F145*VLOOKUP(D145,'Factores Emisión EDGE'!$K$168:$L$203,2,FALSE)/1000</f>
        <v>5.7964267675469374</v>
      </c>
      <c r="H145" s="434"/>
      <c r="I145" s="794">
        <v>567103</v>
      </c>
      <c r="J145" s="795" t="s">
        <v>798</v>
      </c>
      <c r="K145" s="795" t="s">
        <v>598</v>
      </c>
      <c r="L145" s="796" t="s">
        <v>609</v>
      </c>
      <c r="M145" s="797">
        <v>23863366</v>
      </c>
      <c r="N145" s="798">
        <v>32596</v>
      </c>
      <c r="O145" s="799">
        <v>7.7</v>
      </c>
      <c r="P145" s="445">
        <f t="shared" si="31"/>
        <v>525505</v>
      </c>
      <c r="Q145" s="457">
        <v>525505</v>
      </c>
      <c r="R145" s="457" t="s">
        <v>776</v>
      </c>
      <c r="S145" s="457" t="s">
        <v>86</v>
      </c>
      <c r="T145" s="457" t="s">
        <v>613</v>
      </c>
      <c r="U145" s="437">
        <v>44658278</v>
      </c>
      <c r="V145" s="437">
        <v>58833</v>
      </c>
      <c r="W145" s="457">
        <v>13.9</v>
      </c>
      <c r="X145" s="654"/>
    </row>
    <row r="146" spans="1:24" ht="14.25" customHeight="1">
      <c r="A146" s="787">
        <v>521205</v>
      </c>
      <c r="B146" s="788" t="s">
        <v>793</v>
      </c>
      <c r="C146" s="789" t="s">
        <v>86</v>
      </c>
      <c r="D146" s="790" t="s">
        <v>610</v>
      </c>
      <c r="E146" s="791">
        <v>19502606</v>
      </c>
      <c r="F146" s="792">
        <v>-21513.137036393644</v>
      </c>
      <c r="G146" s="793">
        <f>-F146*VLOOKUP(D146,'Factores Emisión EDGE'!$K$168:$L$203,2,FALSE)/1000</f>
        <v>5.2215993491722079</v>
      </c>
      <c r="H146" s="434"/>
      <c r="I146" s="794">
        <v>521302</v>
      </c>
      <c r="J146" s="795" t="s">
        <v>786</v>
      </c>
      <c r="K146" s="795" t="s">
        <v>598</v>
      </c>
      <c r="L146" s="796" t="s">
        <v>601</v>
      </c>
      <c r="M146" s="797">
        <v>24909125</v>
      </c>
      <c r="N146" s="798">
        <v>31059</v>
      </c>
      <c r="O146" s="799">
        <v>7.62</v>
      </c>
      <c r="P146" s="445">
        <f t="shared" si="31"/>
        <v>525504</v>
      </c>
      <c r="Q146" s="457">
        <v>525504</v>
      </c>
      <c r="R146" s="457" t="s">
        <v>778</v>
      </c>
      <c r="S146" s="457" t="s">
        <v>86</v>
      </c>
      <c r="T146" s="457" t="s">
        <v>615</v>
      </c>
      <c r="U146" s="437">
        <v>41314000</v>
      </c>
      <c r="V146" s="437">
        <v>54427</v>
      </c>
      <c r="W146" s="457">
        <v>18.8</v>
      </c>
      <c r="X146" s="654"/>
    </row>
    <row r="147" spans="1:24" ht="14.25" customHeight="1">
      <c r="A147" s="787">
        <v>562302</v>
      </c>
      <c r="B147" s="788" t="s">
        <v>786</v>
      </c>
      <c r="C147" s="789" t="s">
        <v>86</v>
      </c>
      <c r="D147" s="790" t="s">
        <v>601</v>
      </c>
      <c r="E147" s="791">
        <v>18277987</v>
      </c>
      <c r="F147" s="792">
        <v>-20519.607746581289</v>
      </c>
      <c r="G147" s="793">
        <f>-F147*VLOOKUP(D147,'Factores Emisión EDGE'!$K$168:$L$203,2,FALSE)/1000</f>
        <v>5.0350937566012499</v>
      </c>
      <c r="H147" s="434"/>
      <c r="I147" s="794">
        <v>567104</v>
      </c>
      <c r="J147" s="795" t="s">
        <v>789</v>
      </c>
      <c r="K147" s="795" t="s">
        <v>598</v>
      </c>
      <c r="L147" s="796" t="s">
        <v>609</v>
      </c>
      <c r="M147" s="797">
        <v>20245223</v>
      </c>
      <c r="N147" s="798">
        <v>26653</v>
      </c>
      <c r="O147" s="799">
        <v>6.29</v>
      </c>
      <c r="P147" s="808" t="e">
        <f t="shared" si="31"/>
        <v>#N/A</v>
      </c>
      <c r="Q147" s="811">
        <v>526251</v>
      </c>
      <c r="R147" s="811" t="s">
        <v>799</v>
      </c>
      <c r="S147" s="811" t="s">
        <v>86</v>
      </c>
      <c r="T147" s="811" t="s">
        <v>669</v>
      </c>
      <c r="U147" s="810">
        <v>40942784</v>
      </c>
      <c r="V147" s="810">
        <v>53938</v>
      </c>
      <c r="W147" s="811">
        <v>0</v>
      </c>
      <c r="X147" s="813"/>
    </row>
    <row r="148" spans="1:24" ht="14.25" customHeight="1">
      <c r="A148" s="787">
        <v>521209</v>
      </c>
      <c r="B148" s="788" t="s">
        <v>796</v>
      </c>
      <c r="C148" s="789" t="s">
        <v>86</v>
      </c>
      <c r="D148" s="790" t="s">
        <v>612</v>
      </c>
      <c r="E148" s="791">
        <v>24355085</v>
      </c>
      <c r="F148" s="792">
        <v>-27441.750295028571</v>
      </c>
      <c r="G148" s="793">
        <f>-F148*VLOOKUP(D148,'Factores Emisión EDGE'!$K$168:$L$203,2,FALSE)/1000</f>
        <v>4.9439038122298262</v>
      </c>
      <c r="H148" s="434"/>
      <c r="I148" s="794">
        <v>565956</v>
      </c>
      <c r="J148" s="795" t="s">
        <v>795</v>
      </c>
      <c r="K148" s="795" t="s">
        <v>598</v>
      </c>
      <c r="L148" s="796" t="s">
        <v>610</v>
      </c>
      <c r="M148" s="797">
        <v>19290957</v>
      </c>
      <c r="N148" s="798">
        <v>25644</v>
      </c>
      <c r="O148" s="799">
        <v>6.22</v>
      </c>
      <c r="P148" s="445">
        <f t="shared" si="31"/>
        <v>565104</v>
      </c>
      <c r="Q148" s="457">
        <v>565104</v>
      </c>
      <c r="R148" s="457" t="s">
        <v>720</v>
      </c>
      <c r="S148" s="457" t="s">
        <v>86</v>
      </c>
      <c r="T148" s="457" t="s">
        <v>606</v>
      </c>
      <c r="U148" s="437">
        <v>37729010</v>
      </c>
      <c r="V148" s="437">
        <v>49704</v>
      </c>
      <c r="W148" s="457">
        <v>12.1</v>
      </c>
      <c r="X148" s="654"/>
    </row>
    <row r="149" spans="1:24" ht="14.25" customHeight="1">
      <c r="A149" s="787">
        <v>521302</v>
      </c>
      <c r="B149" s="788" t="s">
        <v>786</v>
      </c>
      <c r="C149" s="789" t="s">
        <v>86</v>
      </c>
      <c r="D149" s="790" t="s">
        <v>601</v>
      </c>
      <c r="E149" s="791">
        <v>16524566</v>
      </c>
      <c r="F149" s="792">
        <v>-19102.733508752422</v>
      </c>
      <c r="G149" s="793">
        <f>-F149*VLOOKUP(D149,'Factores Emisión EDGE'!$K$168:$L$203,2,FALSE)/1000</f>
        <v>4.6874216803662714</v>
      </c>
      <c r="H149" s="434"/>
      <c r="I149" s="794">
        <v>526106</v>
      </c>
      <c r="J149" s="795" t="s">
        <v>747</v>
      </c>
      <c r="K149" s="795" t="s">
        <v>598</v>
      </c>
      <c r="L149" s="796" t="s">
        <v>619</v>
      </c>
      <c r="M149" s="797">
        <v>19447191</v>
      </c>
      <c r="N149" s="798">
        <v>27474</v>
      </c>
      <c r="O149" s="799">
        <v>5.86</v>
      </c>
      <c r="P149" s="445">
        <f t="shared" si="31"/>
        <v>562302</v>
      </c>
      <c r="Q149" s="457">
        <v>562302</v>
      </c>
      <c r="R149" s="457" t="s">
        <v>800</v>
      </c>
      <c r="S149" s="457" t="s">
        <v>86</v>
      </c>
      <c r="T149" s="457" t="s">
        <v>601</v>
      </c>
      <c r="U149" s="437">
        <v>36418736</v>
      </c>
      <c r="V149" s="437">
        <v>47978</v>
      </c>
      <c r="W149" s="457">
        <v>11.8</v>
      </c>
      <c r="X149" s="654"/>
    </row>
    <row r="150" spans="1:24" ht="14.25" customHeight="1">
      <c r="A150" s="787">
        <v>565403</v>
      </c>
      <c r="B150" s="788" t="s">
        <v>801</v>
      </c>
      <c r="C150" s="789" t="s">
        <v>86</v>
      </c>
      <c r="D150" s="790" t="s">
        <v>618</v>
      </c>
      <c r="E150" s="791">
        <v>10827066</v>
      </c>
      <c r="F150" s="792">
        <v>-12362.596647908756</v>
      </c>
      <c r="G150" s="793">
        <f>-F150*VLOOKUP(D150,'Factores Emisión EDGE'!$K$168:$L$203,2,FALSE)/1000</f>
        <v>4.6338226511490479</v>
      </c>
      <c r="H150" s="434"/>
      <c r="I150" s="794">
        <v>567102</v>
      </c>
      <c r="J150" s="795" t="s">
        <v>739</v>
      </c>
      <c r="K150" s="795" t="s">
        <v>598</v>
      </c>
      <c r="L150" s="796" t="s">
        <v>609</v>
      </c>
      <c r="M150" s="797">
        <v>20720000</v>
      </c>
      <c r="N150" s="798">
        <v>24788</v>
      </c>
      <c r="O150" s="799">
        <v>5.85</v>
      </c>
      <c r="P150" s="808">
        <f t="shared" si="31"/>
        <v>565404</v>
      </c>
      <c r="Q150" s="811">
        <v>565404</v>
      </c>
      <c r="R150" s="811" t="s">
        <v>790</v>
      </c>
      <c r="S150" s="811" t="s">
        <v>86</v>
      </c>
      <c r="T150" s="811" t="s">
        <v>766</v>
      </c>
      <c r="U150" s="810">
        <v>33969382</v>
      </c>
      <c r="V150" s="810">
        <v>44752</v>
      </c>
      <c r="W150" s="811">
        <v>216.1</v>
      </c>
      <c r="X150" s="812" t="s">
        <v>767</v>
      </c>
    </row>
    <row r="151" spans="1:24" ht="14.25" customHeight="1">
      <c r="A151" s="787">
        <v>526556</v>
      </c>
      <c r="B151" s="788" t="s">
        <v>802</v>
      </c>
      <c r="C151" s="789" t="s">
        <v>86</v>
      </c>
      <c r="D151" s="790" t="s">
        <v>615</v>
      </c>
      <c r="E151" s="791">
        <v>12392907</v>
      </c>
      <c r="F151" s="792">
        <v>-12164.971224564695</v>
      </c>
      <c r="G151" s="793">
        <f>-F151*VLOOKUP(D151,'Factores Emisión EDGE'!$K$168:$L$203,2,FALSE)/1000</f>
        <v>4.212919551917282</v>
      </c>
      <c r="H151" s="434"/>
      <c r="I151" s="794">
        <v>521203</v>
      </c>
      <c r="J151" s="795" t="s">
        <v>787</v>
      </c>
      <c r="K151" s="795" t="s">
        <v>598</v>
      </c>
      <c r="L151" s="796" t="s">
        <v>610</v>
      </c>
      <c r="M151" s="797">
        <v>16536358</v>
      </c>
      <c r="N151" s="798">
        <v>21762</v>
      </c>
      <c r="O151" s="799">
        <v>5.28</v>
      </c>
      <c r="P151" s="808" t="e">
        <f t="shared" si="31"/>
        <v>#N/A</v>
      </c>
      <c r="Q151" s="811">
        <v>565701</v>
      </c>
      <c r="R151" s="811" t="s">
        <v>760</v>
      </c>
      <c r="S151" s="811" t="s">
        <v>86</v>
      </c>
      <c r="T151" s="811" t="s">
        <v>611</v>
      </c>
      <c r="U151" s="810">
        <v>33941876</v>
      </c>
      <c r="V151" s="810">
        <v>44715</v>
      </c>
      <c r="W151" s="811">
        <v>10.5</v>
      </c>
      <c r="X151" s="813"/>
    </row>
    <row r="152" spans="1:24" ht="14.25" customHeight="1">
      <c r="A152" s="787">
        <v>525903</v>
      </c>
      <c r="B152" s="788" t="s">
        <v>803</v>
      </c>
      <c r="C152" s="789" t="s">
        <v>86</v>
      </c>
      <c r="D152" s="790" t="s">
        <v>611</v>
      </c>
      <c r="E152" s="791">
        <v>14224547</v>
      </c>
      <c r="F152" s="792">
        <v>-16287.875095512667</v>
      </c>
      <c r="G152" s="793">
        <f>-F152*VLOOKUP(D152,'Factores Emisión EDGE'!$K$168:$L$203,2,FALSE)/1000</f>
        <v>3.837442592195397</v>
      </c>
      <c r="H152" s="434"/>
      <c r="I152" s="794">
        <v>526702</v>
      </c>
      <c r="J152" s="795" t="s">
        <v>804</v>
      </c>
      <c r="K152" s="795" t="s">
        <v>598</v>
      </c>
      <c r="L152" s="796" t="s">
        <v>610</v>
      </c>
      <c r="M152" s="797">
        <v>15745068</v>
      </c>
      <c r="N152" s="798">
        <v>20671</v>
      </c>
      <c r="O152" s="799">
        <v>5.0199999999999996</v>
      </c>
      <c r="P152" s="445">
        <f t="shared" si="31"/>
        <v>567101</v>
      </c>
      <c r="Q152" s="457">
        <v>567101</v>
      </c>
      <c r="R152" s="457" t="s">
        <v>742</v>
      </c>
      <c r="S152" s="457" t="s">
        <v>86</v>
      </c>
      <c r="T152" s="457" t="s">
        <v>609</v>
      </c>
      <c r="U152" s="437">
        <v>33107720</v>
      </c>
      <c r="V152" s="437">
        <v>43616</v>
      </c>
      <c r="W152" s="457">
        <v>10.3</v>
      </c>
      <c r="X152" s="654"/>
    </row>
    <row r="153" spans="1:24" ht="14.25" customHeight="1">
      <c r="A153" s="787">
        <v>565404</v>
      </c>
      <c r="B153" s="788" t="s">
        <v>790</v>
      </c>
      <c r="C153" s="789" t="s">
        <v>86</v>
      </c>
      <c r="D153" s="790" t="s">
        <v>617</v>
      </c>
      <c r="E153" s="791">
        <v>12026467</v>
      </c>
      <c r="F153" s="792">
        <v>-14347.051488188547</v>
      </c>
      <c r="G153" s="793">
        <f>-F153*VLOOKUP(D153,'Factores Emisión EDGE'!$K$168:$L$203,2,FALSE)/1000</f>
        <v>3.3801822601379778</v>
      </c>
      <c r="H153" s="434"/>
      <c r="I153" s="794">
        <v>565401</v>
      </c>
      <c r="J153" s="795" t="s">
        <v>805</v>
      </c>
      <c r="K153" s="795" t="s">
        <v>598</v>
      </c>
      <c r="L153" s="796" t="s">
        <v>617</v>
      </c>
      <c r="M153" s="797">
        <v>13431016</v>
      </c>
      <c r="N153" s="798">
        <v>18415</v>
      </c>
      <c r="O153" s="799">
        <v>4.34</v>
      </c>
      <c r="P153" s="802">
        <f t="shared" si="31"/>
        <v>525902</v>
      </c>
      <c r="Q153" s="805">
        <v>525902</v>
      </c>
      <c r="R153" s="805" t="s">
        <v>759</v>
      </c>
      <c r="S153" s="805" t="s">
        <v>86</v>
      </c>
      <c r="T153" s="805" t="s">
        <v>615</v>
      </c>
      <c r="U153" s="804">
        <v>31739033</v>
      </c>
      <c r="V153" s="804">
        <v>41813</v>
      </c>
      <c r="W153" s="805">
        <v>13.5</v>
      </c>
      <c r="X153" s="807" t="s">
        <v>752</v>
      </c>
    </row>
    <row r="154" spans="1:24" ht="14.25" customHeight="1">
      <c r="A154" s="787">
        <v>567103</v>
      </c>
      <c r="B154" s="788" t="s">
        <v>798</v>
      </c>
      <c r="C154" s="789" t="s">
        <v>86</v>
      </c>
      <c r="D154" s="790" t="s">
        <v>609</v>
      </c>
      <c r="E154" s="791">
        <v>10436709</v>
      </c>
      <c r="F154" s="792">
        <v>-11779.334839646039</v>
      </c>
      <c r="G154" s="793">
        <f>-F154*VLOOKUP(D154,'Factores Emisión EDGE'!$K$168:$L$203,2,FALSE)/1000</f>
        <v>2.7811745764831777</v>
      </c>
      <c r="H154" s="434"/>
      <c r="I154" s="794">
        <v>565112</v>
      </c>
      <c r="J154" s="795" t="s">
        <v>802</v>
      </c>
      <c r="K154" s="795" t="s">
        <v>598</v>
      </c>
      <c r="L154" s="796" t="s">
        <v>615</v>
      </c>
      <c r="M154" s="797">
        <v>8620347</v>
      </c>
      <c r="N154" s="798">
        <v>11399</v>
      </c>
      <c r="O154" s="799">
        <v>3.95</v>
      </c>
      <c r="P154" s="445">
        <f t="shared" si="31"/>
        <v>526101</v>
      </c>
      <c r="Q154" s="457">
        <v>526101</v>
      </c>
      <c r="R154" s="457" t="s">
        <v>736</v>
      </c>
      <c r="S154" s="457" t="s">
        <v>86</v>
      </c>
      <c r="T154" s="457" t="s">
        <v>609</v>
      </c>
      <c r="U154" s="437">
        <v>30544035</v>
      </c>
      <c r="V154" s="437">
        <v>40239</v>
      </c>
      <c r="W154" s="457">
        <v>9.5</v>
      </c>
      <c r="X154" s="654"/>
    </row>
    <row r="155" spans="1:24" ht="14.25" customHeight="1">
      <c r="A155" s="787">
        <v>565112</v>
      </c>
      <c r="B155" s="788" t="s">
        <v>802</v>
      </c>
      <c r="C155" s="789" t="s">
        <v>86</v>
      </c>
      <c r="D155" s="790" t="s">
        <v>615</v>
      </c>
      <c r="E155" s="791">
        <v>6029166</v>
      </c>
      <c r="F155" s="792">
        <v>-6935.8264469226433</v>
      </c>
      <c r="G155" s="793">
        <f>-F155*VLOOKUP(D155,'Factores Emisión EDGE'!$K$168:$L$203,2,FALSE)/1000</f>
        <v>2.4019850361784125</v>
      </c>
      <c r="H155" s="434"/>
      <c r="I155" s="794">
        <v>562203</v>
      </c>
      <c r="J155" s="795" t="s">
        <v>787</v>
      </c>
      <c r="K155" s="795" t="s">
        <v>598</v>
      </c>
      <c r="L155" s="796" t="s">
        <v>610</v>
      </c>
      <c r="M155" s="797">
        <v>11210571</v>
      </c>
      <c r="N155" s="798">
        <v>14623</v>
      </c>
      <c r="O155" s="799">
        <v>3.55</v>
      </c>
      <c r="P155" s="445">
        <f t="shared" si="31"/>
        <v>565405</v>
      </c>
      <c r="Q155" s="457">
        <v>565405</v>
      </c>
      <c r="R155" s="457" t="s">
        <v>780</v>
      </c>
      <c r="S155" s="457" t="s">
        <v>86</v>
      </c>
      <c r="T155" s="457" t="s">
        <v>619</v>
      </c>
      <c r="U155" s="437">
        <v>27105134</v>
      </c>
      <c r="V155" s="437">
        <v>35709</v>
      </c>
      <c r="W155" s="457">
        <v>7.6</v>
      </c>
      <c r="X155" s="654"/>
    </row>
    <row r="156" spans="1:24" ht="14.25" customHeight="1">
      <c r="A156" s="787">
        <v>526702</v>
      </c>
      <c r="B156" s="788" t="s">
        <v>804</v>
      </c>
      <c r="C156" s="789" t="s">
        <v>86</v>
      </c>
      <c r="D156" s="790" t="s">
        <v>610</v>
      </c>
      <c r="E156" s="791">
        <v>10061813</v>
      </c>
      <c r="F156" s="792">
        <v>-8754.6311671839048</v>
      </c>
      <c r="G156" s="793">
        <f>-F156*VLOOKUP(D156,'Factores Emisión EDGE'!$K$168:$L$203,2,FALSE)/1000</f>
        <v>2.1248958869865193</v>
      </c>
      <c r="H156" s="434"/>
      <c r="I156" s="794">
        <v>525903</v>
      </c>
      <c r="J156" s="795" t="s">
        <v>803</v>
      </c>
      <c r="K156" s="795" t="s">
        <v>598</v>
      </c>
      <c r="L156" s="800" t="s">
        <v>611</v>
      </c>
      <c r="M156" s="797">
        <v>9420476</v>
      </c>
      <c r="N156" s="798">
        <v>12366</v>
      </c>
      <c r="O156" s="799">
        <v>2.91</v>
      </c>
      <c r="P156" s="445">
        <f t="shared" si="31"/>
        <v>526555</v>
      </c>
      <c r="Q156" s="457">
        <v>526555</v>
      </c>
      <c r="R156" s="457" t="s">
        <v>757</v>
      </c>
      <c r="S156" s="457" t="s">
        <v>86</v>
      </c>
      <c r="T156" s="457" t="s">
        <v>615</v>
      </c>
      <c r="U156" s="437">
        <v>26243157</v>
      </c>
      <c r="V156" s="437">
        <v>34573</v>
      </c>
      <c r="W156" s="457">
        <v>12</v>
      </c>
      <c r="X156" s="654"/>
    </row>
    <row r="157" spans="1:24" ht="14.25" customHeight="1">
      <c r="A157" s="787">
        <v>526106</v>
      </c>
      <c r="B157" s="788" t="s">
        <v>747</v>
      </c>
      <c r="C157" s="789" t="s">
        <v>86</v>
      </c>
      <c r="D157" s="790" t="s">
        <v>619</v>
      </c>
      <c r="E157" s="791">
        <v>10773543</v>
      </c>
      <c r="F157" s="792">
        <v>-7143.0634260249171</v>
      </c>
      <c r="G157" s="793">
        <f>-F157*VLOOKUP(D157,'Factores Emisión EDGE'!$K$168:$L$203,2,FALSE)/1000</f>
        <v>1.5237882909060245</v>
      </c>
      <c r="H157" s="434"/>
      <c r="I157" s="794">
        <v>565107</v>
      </c>
      <c r="J157" s="795" t="s">
        <v>755</v>
      </c>
      <c r="K157" s="795" t="s">
        <v>598</v>
      </c>
      <c r="L157" s="796" t="s">
        <v>597</v>
      </c>
      <c r="M157" s="797">
        <v>3452748</v>
      </c>
      <c r="N157" s="798">
        <v>4657</v>
      </c>
      <c r="O157" s="799">
        <v>2.3199999999999998</v>
      </c>
      <c r="P157" s="445">
        <f t="shared" si="31"/>
        <v>565110</v>
      </c>
      <c r="Q157" s="457">
        <v>565110</v>
      </c>
      <c r="R157" s="457" t="s">
        <v>761</v>
      </c>
      <c r="S157" s="457" t="s">
        <v>86</v>
      </c>
      <c r="T157" s="457" t="s">
        <v>615</v>
      </c>
      <c r="U157" s="437">
        <v>25263698</v>
      </c>
      <c r="V157" s="437">
        <v>33283</v>
      </c>
      <c r="W157" s="457">
        <v>11.5</v>
      </c>
      <c r="X157" s="654"/>
    </row>
    <row r="158" spans="1:24" ht="14.25" customHeight="1">
      <c r="A158" s="787">
        <v>526651</v>
      </c>
      <c r="B158" s="788" t="s">
        <v>806</v>
      </c>
      <c r="C158" s="789" t="s">
        <v>86</v>
      </c>
      <c r="D158" s="790" t="s">
        <v>612</v>
      </c>
      <c r="E158" s="791">
        <v>6848025</v>
      </c>
      <c r="F158" s="792">
        <v>-8052.6024955545763</v>
      </c>
      <c r="G158" s="793">
        <f>-F158*VLOOKUP(D158,'Factores Emisión EDGE'!$K$168:$L$203,2,FALSE)/1000</f>
        <v>1.4507563019169376</v>
      </c>
      <c r="H158" s="434"/>
      <c r="I158" s="794">
        <v>565506</v>
      </c>
      <c r="J158" s="795" t="s">
        <v>807</v>
      </c>
      <c r="K158" s="795" t="s">
        <v>598</v>
      </c>
      <c r="L158" s="796" t="s">
        <v>615</v>
      </c>
      <c r="M158" s="797">
        <v>2627507</v>
      </c>
      <c r="N158" s="798">
        <v>3250</v>
      </c>
      <c r="O158" s="799">
        <v>1.1299999999999999</v>
      </c>
      <c r="P158" s="445">
        <f t="shared" si="31"/>
        <v>562205</v>
      </c>
      <c r="Q158" s="457">
        <v>562205</v>
      </c>
      <c r="R158" s="457" t="s">
        <v>808</v>
      </c>
      <c r="S158" s="457" t="s">
        <v>86</v>
      </c>
      <c r="T158" s="457" t="s">
        <v>610</v>
      </c>
      <c r="U158" s="437">
        <v>25037796</v>
      </c>
      <c r="V158" s="437">
        <v>32985</v>
      </c>
      <c r="W158" s="457">
        <v>8</v>
      </c>
      <c r="X158" s="654"/>
    </row>
    <row r="159" spans="1:24" ht="14.25" customHeight="1">
      <c r="A159" s="787">
        <v>565401</v>
      </c>
      <c r="B159" s="788" t="s">
        <v>805</v>
      </c>
      <c r="C159" s="789" t="s">
        <v>86</v>
      </c>
      <c r="D159" s="790" t="s">
        <v>617</v>
      </c>
      <c r="E159" s="791">
        <v>4627493</v>
      </c>
      <c r="F159" s="792">
        <v>-5560.3577809656517</v>
      </c>
      <c r="G159" s="793">
        <f>-F159*VLOOKUP(D159,'Factores Emisión EDGE'!$K$168:$L$203,2,FALSE)/1000</f>
        <v>1.310026854417689</v>
      </c>
      <c r="H159" s="434"/>
      <c r="I159" s="794">
        <v>526556</v>
      </c>
      <c r="J159" s="795" t="s">
        <v>802</v>
      </c>
      <c r="K159" s="795" t="s">
        <v>598</v>
      </c>
      <c r="L159" s="796" t="s">
        <v>615</v>
      </c>
      <c r="M159" s="797">
        <v>1890762</v>
      </c>
      <c r="N159" s="798">
        <v>2375</v>
      </c>
      <c r="O159" s="799">
        <v>0.82</v>
      </c>
      <c r="P159" s="445">
        <f t="shared" si="31"/>
        <v>567103</v>
      </c>
      <c r="Q159" s="457">
        <v>567103</v>
      </c>
      <c r="R159" s="457" t="s">
        <v>809</v>
      </c>
      <c r="S159" s="457" t="s">
        <v>86</v>
      </c>
      <c r="T159" s="457" t="s">
        <v>609</v>
      </c>
      <c r="U159" s="437">
        <v>23810882</v>
      </c>
      <c r="V159" s="437">
        <v>31369</v>
      </c>
      <c r="W159" s="457">
        <v>7.4</v>
      </c>
      <c r="X159" s="654"/>
    </row>
    <row r="160" spans="1:24" ht="14.25" customHeight="1">
      <c r="A160" s="787">
        <v>565506</v>
      </c>
      <c r="B160" s="788" t="s">
        <v>807</v>
      </c>
      <c r="C160" s="789" t="s">
        <v>86</v>
      </c>
      <c r="D160" s="790" t="s">
        <v>615</v>
      </c>
      <c r="E160" s="791">
        <v>2711006</v>
      </c>
      <c r="F160" s="792">
        <v>-3177.887440040528</v>
      </c>
      <c r="G160" s="793">
        <f>-F160*VLOOKUP(D160,'Factores Emisión EDGE'!$K$168:$L$203,2,FALSE)/1000</f>
        <v>1.1005520590878481</v>
      </c>
      <c r="H160" s="434"/>
      <c r="I160" s="794">
        <v>526651</v>
      </c>
      <c r="J160" s="795" t="s">
        <v>806</v>
      </c>
      <c r="K160" s="795" t="s">
        <v>598</v>
      </c>
      <c r="L160" s="796" t="s">
        <v>612</v>
      </c>
      <c r="M160" s="797">
        <v>3241469</v>
      </c>
      <c r="N160" s="798">
        <v>4109</v>
      </c>
      <c r="O160" s="799">
        <v>0.74</v>
      </c>
      <c r="P160" s="445">
        <f t="shared" si="31"/>
        <v>521209</v>
      </c>
      <c r="Q160" s="457">
        <v>521209</v>
      </c>
      <c r="R160" s="457" t="s">
        <v>796</v>
      </c>
      <c r="S160" s="457" t="s">
        <v>86</v>
      </c>
      <c r="T160" s="457" t="s">
        <v>612</v>
      </c>
      <c r="U160" s="437">
        <v>21280404</v>
      </c>
      <c r="V160" s="437">
        <v>28035</v>
      </c>
      <c r="W160" s="457">
        <v>5.0999999999999996</v>
      </c>
      <c r="X160" s="654"/>
    </row>
    <row r="161" spans="1:24" ht="14.25" customHeight="1">
      <c r="A161" s="787">
        <v>521210</v>
      </c>
      <c r="B161" s="788" t="s">
        <v>810</v>
      </c>
      <c r="C161" s="789" t="s">
        <v>86</v>
      </c>
      <c r="D161" s="790" t="s">
        <v>609</v>
      </c>
      <c r="E161" s="791">
        <v>5490000</v>
      </c>
      <c r="F161" s="792">
        <v>-3274.6826614770521</v>
      </c>
      <c r="G161" s="793">
        <f>-F161*VLOOKUP(D161,'Factores Emisión EDGE'!$K$168:$L$203,2,FALSE)/1000</f>
        <v>0.77317304314136615</v>
      </c>
      <c r="H161" s="434"/>
      <c r="I161" s="794">
        <v>565403</v>
      </c>
      <c r="J161" s="795" t="s">
        <v>801</v>
      </c>
      <c r="K161" s="795" t="s">
        <v>598</v>
      </c>
      <c r="L161" s="796" t="s">
        <v>618</v>
      </c>
      <c r="M161" s="797">
        <v>428370</v>
      </c>
      <c r="N161" s="798">
        <v>565</v>
      </c>
      <c r="O161" s="799">
        <v>0.21</v>
      </c>
      <c r="P161" s="445">
        <f t="shared" si="31"/>
        <v>567102</v>
      </c>
      <c r="Q161" s="457">
        <v>567102</v>
      </c>
      <c r="R161" s="457" t="s">
        <v>739</v>
      </c>
      <c r="S161" s="457" t="s">
        <v>86</v>
      </c>
      <c r="T161" s="457" t="s">
        <v>609</v>
      </c>
      <c r="U161" s="437">
        <v>20720000</v>
      </c>
      <c r="V161" s="437">
        <v>27297</v>
      </c>
      <c r="W161" s="457">
        <v>6.4</v>
      </c>
      <c r="X161" s="654"/>
    </row>
    <row r="162" spans="1:24" ht="14.25" customHeight="1">
      <c r="A162" s="787">
        <v>565505</v>
      </c>
      <c r="B162" s="788" t="s">
        <v>811</v>
      </c>
      <c r="C162" s="789" t="s">
        <v>86</v>
      </c>
      <c r="D162" s="790" t="s">
        <v>612</v>
      </c>
      <c r="E162" s="791">
        <v>300000</v>
      </c>
      <c r="F162" s="792">
        <v>-364.94130527340189</v>
      </c>
      <c r="G162" s="793">
        <f>-F162*VLOOKUP(D162,'Factores Emisión EDGE'!$K$168:$L$203,2,FALSE)/1000</f>
        <v>6.5747800012164723E-2</v>
      </c>
      <c r="H162" s="434"/>
      <c r="I162" s="794">
        <v>565505</v>
      </c>
      <c r="J162" s="795" t="s">
        <v>811</v>
      </c>
      <c r="K162" s="795" t="s">
        <v>598</v>
      </c>
      <c r="L162" s="796" t="s">
        <v>612</v>
      </c>
      <c r="M162" s="797">
        <v>362081</v>
      </c>
      <c r="N162" s="798">
        <v>492</v>
      </c>
      <c r="O162" s="799">
        <v>0.09</v>
      </c>
      <c r="P162" s="445">
        <f t="shared" si="31"/>
        <v>567104</v>
      </c>
      <c r="Q162" s="457">
        <v>567104</v>
      </c>
      <c r="R162" s="457" t="s">
        <v>812</v>
      </c>
      <c r="S162" s="457" t="s">
        <v>86</v>
      </c>
      <c r="T162" s="457" t="s">
        <v>609</v>
      </c>
      <c r="U162" s="437">
        <v>19783582</v>
      </c>
      <c r="V162" s="437">
        <v>26063</v>
      </c>
      <c r="W162" s="457">
        <v>6.2</v>
      </c>
      <c r="X162" s="654"/>
    </row>
    <row r="163" spans="1:24" ht="14.25" customHeight="1">
      <c r="A163" s="787">
        <v>525505</v>
      </c>
      <c r="B163" s="788" t="s">
        <v>783</v>
      </c>
      <c r="C163" s="789" t="s">
        <v>86</v>
      </c>
      <c r="D163" s="790" t="s">
        <v>613</v>
      </c>
      <c r="E163" s="791">
        <v>8365851</v>
      </c>
      <c r="F163" s="792">
        <v>-245.26076063441394</v>
      </c>
      <c r="G163" s="793">
        <f>-F163*VLOOKUP(D163,'Factores Emisión EDGE'!$K$168:$L$203,2,FALSE)/1000</f>
        <v>5.7783724613165471E-2</v>
      </c>
      <c r="H163" s="434"/>
      <c r="I163" s="794">
        <v>525506</v>
      </c>
      <c r="J163" s="795" t="s">
        <v>813</v>
      </c>
      <c r="K163" s="795" t="s">
        <v>598</v>
      </c>
      <c r="L163" s="800" t="s">
        <v>615</v>
      </c>
      <c r="M163" s="797" t="s">
        <v>325</v>
      </c>
      <c r="N163" s="798" t="s">
        <v>814</v>
      </c>
      <c r="O163" s="799">
        <v>0</v>
      </c>
      <c r="P163" s="445">
        <f t="shared" si="31"/>
        <v>526106</v>
      </c>
      <c r="Q163" s="457">
        <v>526106</v>
      </c>
      <c r="R163" s="457" t="s">
        <v>748</v>
      </c>
      <c r="S163" s="457" t="s">
        <v>86</v>
      </c>
      <c r="T163" s="457" t="s">
        <v>619</v>
      </c>
      <c r="U163" s="437">
        <v>19447191</v>
      </c>
      <c r="V163" s="437">
        <v>25620</v>
      </c>
      <c r="W163" s="457">
        <v>5.5</v>
      </c>
      <c r="X163" s="654"/>
    </row>
    <row r="164" spans="1:24" ht="14.25" customHeight="1">
      <c r="A164" s="787">
        <v>525906</v>
      </c>
      <c r="B164" s="788" t="s">
        <v>781</v>
      </c>
      <c r="C164" s="789" t="s">
        <v>86</v>
      </c>
      <c r="D164" s="790" t="s">
        <v>609</v>
      </c>
      <c r="E164" s="791">
        <v>-73332</v>
      </c>
      <c r="F164" s="792">
        <v>79.606815901976148</v>
      </c>
      <c r="G164" s="793">
        <f>-F164*VLOOKUP(D164,'Factores Emisión EDGE'!$K$168:$L$203,2,FALSE)/1000</f>
        <v>-1.8795666777055957E-2</v>
      </c>
      <c r="H164" s="434"/>
      <c r="I164" s="794">
        <v>521210</v>
      </c>
      <c r="J164" s="795" t="s">
        <v>810</v>
      </c>
      <c r="K164" s="795" t="s">
        <v>598</v>
      </c>
      <c r="L164" s="796" t="s">
        <v>609</v>
      </c>
      <c r="M164" s="797" t="s">
        <v>325</v>
      </c>
      <c r="N164" s="798" t="s">
        <v>814</v>
      </c>
      <c r="O164" s="799">
        <v>0</v>
      </c>
      <c r="P164" s="445">
        <f t="shared" si="31"/>
        <v>562209</v>
      </c>
      <c r="Q164" s="457">
        <v>562209</v>
      </c>
      <c r="R164" s="457" t="s">
        <v>782</v>
      </c>
      <c r="S164" s="457" t="s">
        <v>86</v>
      </c>
      <c r="T164" s="457" t="s">
        <v>612</v>
      </c>
      <c r="U164" s="437">
        <v>18261918</v>
      </c>
      <c r="V164" s="437">
        <v>24058</v>
      </c>
      <c r="W164" s="457">
        <v>4.3</v>
      </c>
      <c r="X164" s="654"/>
    </row>
    <row r="165" spans="1:24" ht="14.25" customHeight="1">
      <c r="A165" s="787">
        <v>521105</v>
      </c>
      <c r="B165" s="788" t="s">
        <v>758</v>
      </c>
      <c r="C165" s="789" t="s">
        <v>86</v>
      </c>
      <c r="D165" s="790" t="s">
        <v>612</v>
      </c>
      <c r="E165" s="791">
        <v>-51487097</v>
      </c>
      <c r="F165" s="792">
        <v>49650.862881070876</v>
      </c>
      <c r="G165" s="793">
        <f>-F165*VLOOKUP(D165,'Factores Emisión EDGE'!$K$168:$L$203,2,FALSE)/1000</f>
        <v>-8.9450959810933277</v>
      </c>
      <c r="H165" s="434"/>
      <c r="I165" s="794">
        <v>521999</v>
      </c>
      <c r="J165" s="795" t="s">
        <v>762</v>
      </c>
      <c r="K165" s="795" t="s">
        <v>598</v>
      </c>
      <c r="L165" s="796" t="s">
        <v>610</v>
      </c>
      <c r="M165" s="797" t="s">
        <v>325</v>
      </c>
      <c r="N165" s="798" t="s">
        <v>814</v>
      </c>
      <c r="O165" s="799">
        <v>0</v>
      </c>
      <c r="P165" s="445">
        <f t="shared" si="31"/>
        <v>565956</v>
      </c>
      <c r="Q165" s="457">
        <v>565956</v>
      </c>
      <c r="R165" s="457" t="s">
        <v>815</v>
      </c>
      <c r="S165" s="457" t="s">
        <v>86</v>
      </c>
      <c r="T165" s="457" t="s">
        <v>602</v>
      </c>
      <c r="U165" s="437">
        <v>17979800</v>
      </c>
      <c r="V165" s="437">
        <v>23687</v>
      </c>
      <c r="W165" s="457">
        <v>2.9</v>
      </c>
      <c r="X165" s="654"/>
    </row>
    <row r="166" spans="1:24" ht="14.25" customHeight="1">
      <c r="A166" s="787">
        <v>562204</v>
      </c>
      <c r="B166" s="788" t="s">
        <v>744</v>
      </c>
      <c r="C166" s="789" t="s">
        <v>86</v>
      </c>
      <c r="D166" s="790" t="s">
        <v>621</v>
      </c>
      <c r="E166" s="791">
        <v>-32259987</v>
      </c>
      <c r="F166" s="792">
        <v>36239.922007127636</v>
      </c>
      <c r="G166" s="793">
        <f>-F166*VLOOKUP(D166,'Factores Emisión EDGE'!$K$168:$L$203,2,FALSE)/1000</f>
        <v>-11.943948783919264</v>
      </c>
      <c r="H166" s="434"/>
      <c r="I166" s="794">
        <v>562204</v>
      </c>
      <c r="J166" s="795" t="s">
        <v>744</v>
      </c>
      <c r="K166" s="795" t="s">
        <v>598</v>
      </c>
      <c r="L166" s="796" t="s">
        <v>621</v>
      </c>
      <c r="M166" s="797">
        <v>-17601838</v>
      </c>
      <c r="N166" s="798">
        <v>22126</v>
      </c>
      <c r="O166" s="799">
        <v>-7.29</v>
      </c>
      <c r="P166" s="445">
        <f t="shared" si="31"/>
        <v>521302</v>
      </c>
      <c r="Q166" s="457">
        <v>521302</v>
      </c>
      <c r="R166" s="457" t="s">
        <v>800</v>
      </c>
      <c r="S166" s="457" t="s">
        <v>86</v>
      </c>
      <c r="T166" s="457" t="s">
        <v>601</v>
      </c>
      <c r="U166" s="437">
        <v>17809473</v>
      </c>
      <c r="V166" s="437">
        <v>23462</v>
      </c>
      <c r="W166" s="457">
        <v>5.8</v>
      </c>
      <c r="X166" s="654"/>
    </row>
    <row r="167" spans="1:24" ht="14.25" customHeight="1">
      <c r="A167" s="787">
        <v>525506</v>
      </c>
      <c r="B167" s="788" t="s">
        <v>813</v>
      </c>
      <c r="C167" s="789" t="s">
        <v>86</v>
      </c>
      <c r="D167" s="790" t="s">
        <v>615</v>
      </c>
      <c r="E167" s="791">
        <v>-232579690</v>
      </c>
      <c r="F167" s="792">
        <v>258966.15327119987</v>
      </c>
      <c r="G167" s="793">
        <f>-F167*VLOOKUP(D167,'Factores Emisión EDGE'!$K$168:$L$203,2,FALSE)/1000</f>
        <v>-89.684023929130603</v>
      </c>
      <c r="H167" s="434"/>
      <c r="I167" s="794">
        <v>562208</v>
      </c>
      <c r="J167" s="795" t="s">
        <v>772</v>
      </c>
      <c r="K167" s="795" t="s">
        <v>598</v>
      </c>
      <c r="L167" s="796" t="s">
        <v>610</v>
      </c>
      <c r="M167" s="797">
        <v>-41170809</v>
      </c>
      <c r="N167" s="798">
        <v>42688</v>
      </c>
      <c r="O167" s="799">
        <v>-10.36</v>
      </c>
      <c r="P167" s="445">
        <f t="shared" si="31"/>
        <v>521203</v>
      </c>
      <c r="Q167" s="457">
        <v>521203</v>
      </c>
      <c r="R167" s="457" t="s">
        <v>787</v>
      </c>
      <c r="S167" s="457" t="s">
        <v>86</v>
      </c>
      <c r="T167" s="457" t="s">
        <v>610</v>
      </c>
      <c r="U167" s="437">
        <v>16536358</v>
      </c>
      <c r="V167" s="437">
        <v>21785</v>
      </c>
      <c r="W167" s="457">
        <v>5.3</v>
      </c>
      <c r="X167" s="654"/>
    </row>
    <row r="168" spans="1:24" ht="14.25" customHeight="1">
      <c r="A168" s="1505">
        <v>2022</v>
      </c>
      <c r="B168" s="1396"/>
      <c r="C168" s="1396"/>
      <c r="D168" s="1396"/>
      <c r="E168" s="814">
        <f t="shared" ref="E168:G168" si="32">SUM(E93:E167)</f>
        <v>14978136314</v>
      </c>
      <c r="F168" s="815">
        <f t="shared" si="32"/>
        <v>-17152518.144902039</v>
      </c>
      <c r="G168" s="816">
        <f t="shared" si="32"/>
        <v>4140.2040331628741</v>
      </c>
      <c r="H168" s="431"/>
      <c r="I168" s="1505">
        <v>2022</v>
      </c>
      <c r="J168" s="1396"/>
      <c r="K168" s="1396"/>
      <c r="L168" s="1396"/>
      <c r="M168" s="817">
        <f t="shared" ref="M168:O168" si="33">SUM(M93:M167)</f>
        <v>15935039551</v>
      </c>
      <c r="N168" s="818">
        <f t="shared" si="33"/>
        <v>21276271</v>
      </c>
      <c r="O168" s="816">
        <f t="shared" si="33"/>
        <v>5217.1000000000022</v>
      </c>
      <c r="P168" s="445">
        <f t="shared" si="31"/>
        <v>562205</v>
      </c>
      <c r="Q168" s="457">
        <v>562205</v>
      </c>
      <c r="R168" s="457" t="s">
        <v>791</v>
      </c>
      <c r="S168" s="457" t="s">
        <v>86</v>
      </c>
      <c r="T168" s="457" t="s">
        <v>610</v>
      </c>
      <c r="U168" s="437">
        <v>15272095</v>
      </c>
      <c r="V168" s="437">
        <v>20120</v>
      </c>
      <c r="W168" s="457">
        <v>4.9000000000000004</v>
      </c>
      <c r="X168" s="654"/>
    </row>
    <row r="169" spans="1:24" ht="14.25" customHeight="1">
      <c r="A169" s="591"/>
      <c r="B169" s="431"/>
      <c r="C169" s="431"/>
      <c r="D169" s="653"/>
      <c r="E169" s="661"/>
      <c r="F169" s="431"/>
      <c r="G169" s="466"/>
      <c r="H169" s="431"/>
      <c r="I169" s="591"/>
      <c r="J169" s="431"/>
      <c r="K169" s="431"/>
      <c r="L169" s="653"/>
      <c r="M169" s="661"/>
      <c r="N169" s="431"/>
      <c r="O169" s="466"/>
      <c r="P169" s="445">
        <f t="shared" si="31"/>
        <v>526702</v>
      </c>
      <c r="Q169" s="457">
        <v>526702</v>
      </c>
      <c r="R169" s="457" t="s">
        <v>816</v>
      </c>
      <c r="S169" s="457" t="s">
        <v>86</v>
      </c>
      <c r="T169" s="457" t="s">
        <v>602</v>
      </c>
      <c r="U169" s="437">
        <v>15023556</v>
      </c>
      <c r="V169" s="437">
        <v>19792</v>
      </c>
      <c r="W169" s="457">
        <v>2.5</v>
      </c>
      <c r="X169" s="654"/>
    </row>
    <row r="170" spans="1:24" ht="14.25" customHeight="1">
      <c r="P170" s="445">
        <f t="shared" si="31"/>
        <v>526601</v>
      </c>
      <c r="Q170" s="457">
        <v>526601</v>
      </c>
      <c r="R170" s="457" t="s">
        <v>749</v>
      </c>
      <c r="S170" s="457" t="s">
        <v>86</v>
      </c>
      <c r="T170" s="457" t="s">
        <v>615</v>
      </c>
      <c r="U170" s="437">
        <v>14155520</v>
      </c>
      <c r="V170" s="437">
        <v>18649</v>
      </c>
      <c r="W170" s="457">
        <v>6.5</v>
      </c>
      <c r="X170" s="654"/>
    </row>
    <row r="171" spans="1:24" ht="14.25" customHeight="1">
      <c r="P171" s="445">
        <f t="shared" si="31"/>
        <v>562301</v>
      </c>
      <c r="Q171" s="457">
        <v>562301</v>
      </c>
      <c r="R171" s="457" t="s">
        <v>777</v>
      </c>
      <c r="S171" s="457" t="s">
        <v>86</v>
      </c>
      <c r="T171" s="457" t="s">
        <v>601</v>
      </c>
      <c r="U171" s="437">
        <v>13803278</v>
      </c>
      <c r="V171" s="437">
        <v>18185</v>
      </c>
      <c r="W171" s="457">
        <v>4.5</v>
      </c>
      <c r="X171" s="654"/>
    </row>
    <row r="172" spans="1:24" ht="14.25" customHeight="1">
      <c r="P172" s="445">
        <f t="shared" si="31"/>
        <v>565401</v>
      </c>
      <c r="Q172" s="457">
        <v>565401</v>
      </c>
      <c r="R172" s="457" t="s">
        <v>805</v>
      </c>
      <c r="S172" s="457" t="s">
        <v>86</v>
      </c>
      <c r="T172" s="457" t="s">
        <v>766</v>
      </c>
      <c r="U172" s="437">
        <v>13431016</v>
      </c>
      <c r="V172" s="437">
        <v>17694</v>
      </c>
      <c r="W172" s="457">
        <v>85.4</v>
      </c>
      <c r="X172" s="654"/>
    </row>
    <row r="173" spans="1:24" ht="14.25" customHeight="1">
      <c r="P173" s="445">
        <f t="shared" si="31"/>
        <v>521209</v>
      </c>
      <c r="Q173" s="457">
        <v>521209</v>
      </c>
      <c r="R173" s="457" t="s">
        <v>817</v>
      </c>
      <c r="S173" s="457" t="s">
        <v>86</v>
      </c>
      <c r="T173" s="457" t="s">
        <v>612</v>
      </c>
      <c r="U173" s="437">
        <v>12800301</v>
      </c>
      <c r="V173" s="437">
        <v>16863</v>
      </c>
      <c r="W173" s="457">
        <v>3</v>
      </c>
      <c r="X173" s="654"/>
    </row>
    <row r="174" spans="1:24" ht="14.25" customHeight="1">
      <c r="P174" s="445">
        <f t="shared" si="31"/>
        <v>521208</v>
      </c>
      <c r="Q174" s="457">
        <v>521208</v>
      </c>
      <c r="R174" s="457" t="s">
        <v>772</v>
      </c>
      <c r="S174" s="457" t="s">
        <v>86</v>
      </c>
      <c r="T174" s="457" t="s">
        <v>610</v>
      </c>
      <c r="U174" s="437">
        <v>11506873</v>
      </c>
      <c r="V174" s="437">
        <v>15159</v>
      </c>
      <c r="W174" s="457">
        <v>3.7</v>
      </c>
      <c r="X174" s="654"/>
    </row>
    <row r="175" spans="1:24" ht="14.25" customHeight="1">
      <c r="P175" s="445">
        <f t="shared" si="31"/>
        <v>562203</v>
      </c>
      <c r="Q175" s="457">
        <v>562203</v>
      </c>
      <c r="R175" s="457" t="s">
        <v>787</v>
      </c>
      <c r="S175" s="457" t="s">
        <v>86</v>
      </c>
      <c r="T175" s="457" t="s">
        <v>610</v>
      </c>
      <c r="U175" s="437">
        <v>11210571</v>
      </c>
      <c r="V175" s="437">
        <v>14769</v>
      </c>
      <c r="W175" s="457">
        <v>3.6</v>
      </c>
      <c r="X175" s="654"/>
    </row>
    <row r="176" spans="1:24" ht="14.25" customHeight="1">
      <c r="P176" s="808">
        <f t="shared" si="31"/>
        <v>526551</v>
      </c>
      <c r="Q176" s="811">
        <v>526551</v>
      </c>
      <c r="R176" s="811" t="s">
        <v>764</v>
      </c>
      <c r="S176" s="811" t="s">
        <v>86</v>
      </c>
      <c r="T176" s="811" t="s">
        <v>766</v>
      </c>
      <c r="U176" s="810">
        <v>10167940</v>
      </c>
      <c r="V176" s="810">
        <v>13395</v>
      </c>
      <c r="W176" s="811">
        <v>64.7</v>
      </c>
      <c r="X176" s="812" t="s">
        <v>767</v>
      </c>
    </row>
    <row r="177" spans="9:24" ht="14.25" customHeight="1">
      <c r="P177" s="445">
        <f t="shared" si="31"/>
        <v>562302</v>
      </c>
      <c r="Q177" s="457">
        <v>562302</v>
      </c>
      <c r="R177" s="457" t="s">
        <v>786</v>
      </c>
      <c r="S177" s="457" t="s">
        <v>86</v>
      </c>
      <c r="T177" s="457" t="s">
        <v>601</v>
      </c>
      <c r="U177" s="437">
        <v>9788043</v>
      </c>
      <c r="V177" s="437">
        <v>12895</v>
      </c>
      <c r="W177" s="457">
        <v>3.2</v>
      </c>
      <c r="X177" s="654"/>
    </row>
    <row r="178" spans="9:24" ht="14.25" customHeight="1">
      <c r="P178" s="445">
        <f t="shared" si="31"/>
        <v>525903</v>
      </c>
      <c r="Q178" s="457">
        <v>525903</v>
      </c>
      <c r="R178" s="457" t="s">
        <v>818</v>
      </c>
      <c r="S178" s="457" t="s">
        <v>86</v>
      </c>
      <c r="T178" s="457" t="s">
        <v>612</v>
      </c>
      <c r="U178" s="437">
        <v>9281680</v>
      </c>
      <c r="V178" s="437">
        <v>12228</v>
      </c>
      <c r="W178" s="457">
        <v>2.2000000000000002</v>
      </c>
      <c r="X178" s="654"/>
    </row>
    <row r="179" spans="9:24" ht="14.25" customHeight="1">
      <c r="P179" s="445">
        <f t="shared" si="31"/>
        <v>565112</v>
      </c>
      <c r="Q179" s="457">
        <v>565112</v>
      </c>
      <c r="R179" s="457" t="s">
        <v>802</v>
      </c>
      <c r="S179" s="457" t="s">
        <v>86</v>
      </c>
      <c r="T179" s="457" t="s">
        <v>619</v>
      </c>
      <c r="U179" s="437">
        <v>8620347</v>
      </c>
      <c r="V179" s="437">
        <v>11357</v>
      </c>
      <c r="W179" s="457">
        <v>2.4</v>
      </c>
      <c r="X179" s="654"/>
    </row>
    <row r="180" spans="9:24" ht="14.25" customHeight="1">
      <c r="P180" s="445">
        <f t="shared" si="31"/>
        <v>521302</v>
      </c>
      <c r="Q180" s="457">
        <v>521302</v>
      </c>
      <c r="R180" s="457" t="s">
        <v>786</v>
      </c>
      <c r="S180" s="457" t="s">
        <v>86</v>
      </c>
      <c r="T180" s="457" t="s">
        <v>601</v>
      </c>
      <c r="U180" s="437">
        <v>7099652</v>
      </c>
      <c r="V180" s="437">
        <v>9353</v>
      </c>
      <c r="W180" s="457">
        <v>2.2999999999999998</v>
      </c>
      <c r="X180" s="654"/>
    </row>
    <row r="181" spans="9:24" ht="14.25" customHeight="1">
      <c r="P181" s="808" t="e">
        <f t="shared" si="31"/>
        <v>#N/A</v>
      </c>
      <c r="Q181" s="811">
        <v>526251</v>
      </c>
      <c r="R181" s="811" t="s">
        <v>819</v>
      </c>
      <c r="S181" s="811" t="s">
        <v>86</v>
      </c>
      <c r="T181" s="811" t="s">
        <v>669</v>
      </c>
      <c r="U181" s="810">
        <v>6970984</v>
      </c>
      <c r="V181" s="810">
        <v>9184</v>
      </c>
      <c r="W181" s="811">
        <v>0</v>
      </c>
      <c r="X181" s="813"/>
    </row>
    <row r="182" spans="9:24" ht="14.25" customHeight="1">
      <c r="P182" s="445">
        <f t="shared" si="31"/>
        <v>526303</v>
      </c>
      <c r="Q182" s="457">
        <v>526303</v>
      </c>
      <c r="R182" s="457" t="s">
        <v>773</v>
      </c>
      <c r="S182" s="457" t="s">
        <v>86</v>
      </c>
      <c r="T182" s="457" t="s">
        <v>619</v>
      </c>
      <c r="U182" s="437">
        <v>6585848</v>
      </c>
      <c r="V182" s="437">
        <v>8676</v>
      </c>
      <c r="W182" s="457">
        <v>1.9</v>
      </c>
      <c r="X182" s="654"/>
    </row>
    <row r="183" spans="9:24" ht="14.25" customHeight="1">
      <c r="P183" s="445">
        <f t="shared" si="31"/>
        <v>565104</v>
      </c>
      <c r="Q183" s="457">
        <v>565104</v>
      </c>
      <c r="R183" s="457" t="s">
        <v>722</v>
      </c>
      <c r="S183" s="457" t="s">
        <v>86</v>
      </c>
      <c r="T183" s="457" t="s">
        <v>615</v>
      </c>
      <c r="U183" s="437">
        <v>5690167</v>
      </c>
      <c r="V183" s="437">
        <v>7496</v>
      </c>
      <c r="W183" s="457">
        <v>2.6</v>
      </c>
      <c r="X183" s="654"/>
    </row>
    <row r="184" spans="9:24" ht="14.25" customHeight="1">
      <c r="P184" s="445">
        <f t="shared" si="31"/>
        <v>562903</v>
      </c>
      <c r="Q184" s="457">
        <v>562903</v>
      </c>
      <c r="R184" s="457" t="s">
        <v>774</v>
      </c>
      <c r="S184" s="457" t="s">
        <v>86</v>
      </c>
      <c r="T184" s="457" t="s">
        <v>613</v>
      </c>
      <c r="U184" s="437">
        <v>5473615</v>
      </c>
      <c r="V184" s="437">
        <v>7211</v>
      </c>
      <c r="W184" s="457">
        <v>1.7</v>
      </c>
      <c r="X184" s="654"/>
    </row>
    <row r="185" spans="9:24" ht="14.25" customHeight="1">
      <c r="P185" s="445">
        <f t="shared" si="31"/>
        <v>565106</v>
      </c>
      <c r="Q185" s="457">
        <v>565106</v>
      </c>
      <c r="R185" s="457" t="s">
        <v>726</v>
      </c>
      <c r="S185" s="457" t="s">
        <v>86</v>
      </c>
      <c r="T185" s="457" t="s">
        <v>610</v>
      </c>
      <c r="U185" s="437">
        <v>4925660</v>
      </c>
      <c r="V185" s="437">
        <v>6489</v>
      </c>
      <c r="W185" s="457">
        <v>1.6</v>
      </c>
      <c r="X185" s="654"/>
    </row>
    <row r="186" spans="9:24" ht="14.25" customHeight="1">
      <c r="P186" s="445">
        <f t="shared" si="31"/>
        <v>562208</v>
      </c>
      <c r="Q186" s="457">
        <v>562208</v>
      </c>
      <c r="R186" s="457" t="s">
        <v>772</v>
      </c>
      <c r="S186" s="457" t="s">
        <v>86</v>
      </c>
      <c r="T186" s="457" t="s">
        <v>610</v>
      </c>
      <c r="U186" s="437">
        <v>3910755</v>
      </c>
      <c r="V186" s="437">
        <v>5152</v>
      </c>
      <c r="W186" s="457">
        <v>1.3</v>
      </c>
      <c r="X186" s="654"/>
    </row>
    <row r="187" spans="9:24" ht="14.25" customHeight="1">
      <c r="P187" s="808" t="e">
        <f t="shared" si="31"/>
        <v>#N/A</v>
      </c>
      <c r="Q187" s="811">
        <v>565902</v>
      </c>
      <c r="R187" s="811" t="s">
        <v>820</v>
      </c>
      <c r="S187" s="811" t="s">
        <v>86</v>
      </c>
      <c r="T187" s="811" t="s">
        <v>821</v>
      </c>
      <c r="U187" s="810">
        <v>3750372</v>
      </c>
      <c r="V187" s="810">
        <v>4941</v>
      </c>
      <c r="W187" s="811">
        <v>0.6</v>
      </c>
      <c r="X187" s="813"/>
    </row>
    <row r="188" spans="9:24" ht="14.25" customHeight="1">
      <c r="P188" s="445">
        <f t="shared" si="31"/>
        <v>562205</v>
      </c>
      <c r="Q188" s="457">
        <v>562205</v>
      </c>
      <c r="R188" s="457" t="s">
        <v>779</v>
      </c>
      <c r="S188" s="457" t="s">
        <v>86</v>
      </c>
      <c r="T188" s="457" t="s">
        <v>610</v>
      </c>
      <c r="U188" s="437">
        <v>3690108</v>
      </c>
      <c r="V188" s="437">
        <v>4861</v>
      </c>
      <c r="W188" s="457">
        <v>1.2</v>
      </c>
      <c r="X188" s="654"/>
    </row>
    <row r="189" spans="9:24" ht="14.25" customHeight="1">
      <c r="P189" s="445">
        <f t="shared" si="31"/>
        <v>565107</v>
      </c>
      <c r="Q189" s="457">
        <v>565107</v>
      </c>
      <c r="R189" s="457" t="s">
        <v>755</v>
      </c>
      <c r="S189" s="457" t="s">
        <v>86</v>
      </c>
      <c r="T189" s="457" t="s">
        <v>597</v>
      </c>
      <c r="U189" s="437">
        <v>3452748</v>
      </c>
      <c r="V189" s="437">
        <v>4549</v>
      </c>
      <c r="W189" s="457">
        <v>2.2999999999999998</v>
      </c>
      <c r="X189" s="654"/>
    </row>
    <row r="190" spans="9:24" ht="14.25" customHeight="1">
      <c r="P190" s="445">
        <f t="shared" si="31"/>
        <v>526651</v>
      </c>
      <c r="Q190" s="457">
        <v>526651</v>
      </c>
      <c r="R190" s="457" t="s">
        <v>806</v>
      </c>
      <c r="S190" s="457" t="s">
        <v>86</v>
      </c>
      <c r="T190" s="457" t="s">
        <v>612</v>
      </c>
      <c r="U190" s="437">
        <v>3241469</v>
      </c>
      <c r="V190" s="437">
        <v>4270</v>
      </c>
      <c r="W190" s="457">
        <v>0.8</v>
      </c>
      <c r="X190" s="654"/>
    </row>
    <row r="191" spans="9:24" ht="14.25" customHeight="1">
      <c r="P191" s="802" t="e">
        <f t="shared" si="31"/>
        <v>#N/A</v>
      </c>
      <c r="Q191" s="805">
        <v>525904</v>
      </c>
      <c r="R191" s="805" t="s">
        <v>822</v>
      </c>
      <c r="S191" s="805" t="s">
        <v>86</v>
      </c>
      <c r="T191" s="805" t="s">
        <v>611</v>
      </c>
      <c r="U191" s="804">
        <v>2467559</v>
      </c>
      <c r="V191" s="804">
        <v>3251</v>
      </c>
      <c r="W191" s="805">
        <v>0.8</v>
      </c>
      <c r="X191" s="806" t="s">
        <v>771</v>
      </c>
    </row>
    <row r="192" spans="9:24" ht="14.25" customHeight="1">
      <c r="I192" s="431"/>
      <c r="J192" s="431"/>
      <c r="K192" s="431"/>
      <c r="L192" s="431"/>
      <c r="M192" s="591"/>
      <c r="N192" s="431"/>
      <c r="O192" s="431"/>
      <c r="P192" s="445">
        <f t="shared" si="31"/>
        <v>565405</v>
      </c>
      <c r="Q192" s="457">
        <v>565405</v>
      </c>
      <c r="R192" s="457" t="s">
        <v>792</v>
      </c>
      <c r="S192" s="457" t="s">
        <v>86</v>
      </c>
      <c r="T192" s="457" t="s">
        <v>619</v>
      </c>
      <c r="U192" s="437">
        <v>2413081</v>
      </c>
      <c r="V192" s="437">
        <v>3179</v>
      </c>
      <c r="W192" s="457">
        <v>0.7</v>
      </c>
      <c r="X192" s="654"/>
    </row>
    <row r="193" spans="9:24" ht="14.25" customHeight="1">
      <c r="I193" s="431"/>
      <c r="J193" s="431"/>
      <c r="K193" s="431"/>
      <c r="L193" s="431"/>
      <c r="M193" s="591"/>
      <c r="N193" s="431"/>
      <c r="O193" s="431"/>
      <c r="P193" s="445">
        <f t="shared" si="31"/>
        <v>565603</v>
      </c>
      <c r="Q193" s="457">
        <v>565603</v>
      </c>
      <c r="R193" s="457" t="s">
        <v>746</v>
      </c>
      <c r="S193" s="457" t="s">
        <v>86</v>
      </c>
      <c r="T193" s="457" t="s">
        <v>603</v>
      </c>
      <c r="U193" s="437">
        <v>1718414</v>
      </c>
      <c r="V193" s="437">
        <v>2264</v>
      </c>
      <c r="W193" s="457">
        <v>0.5</v>
      </c>
      <c r="X193" s="654"/>
    </row>
    <row r="194" spans="9:24" ht="14.25" customHeight="1">
      <c r="I194" s="431"/>
      <c r="J194" s="431"/>
      <c r="K194" s="431"/>
      <c r="L194" s="431"/>
      <c r="M194" s="591"/>
      <c r="N194" s="431"/>
      <c r="O194" s="431"/>
      <c r="P194" s="445">
        <f t="shared" si="31"/>
        <v>525906</v>
      </c>
      <c r="Q194" s="457">
        <v>525906</v>
      </c>
      <c r="R194" s="457" t="s">
        <v>781</v>
      </c>
      <c r="S194" s="457" t="s">
        <v>86</v>
      </c>
      <c r="T194" s="457" t="s">
        <v>615</v>
      </c>
      <c r="U194" s="437">
        <v>1585168</v>
      </c>
      <c r="V194" s="437">
        <v>2088</v>
      </c>
      <c r="W194" s="457">
        <v>0.7</v>
      </c>
      <c r="X194" s="654"/>
    </row>
    <row r="195" spans="9:24" ht="14.25" customHeight="1">
      <c r="I195" s="431"/>
      <c r="J195" s="431"/>
      <c r="K195" s="431"/>
      <c r="L195" s="431"/>
      <c r="M195" s="591"/>
      <c r="N195" s="431"/>
      <c r="O195" s="431"/>
      <c r="P195" s="445">
        <f t="shared" si="31"/>
        <v>526556</v>
      </c>
      <c r="Q195" s="457">
        <v>526556</v>
      </c>
      <c r="R195" s="457" t="s">
        <v>823</v>
      </c>
      <c r="S195" s="457" t="s">
        <v>86</v>
      </c>
      <c r="T195" s="457" t="s">
        <v>615</v>
      </c>
      <c r="U195" s="437">
        <v>1385725</v>
      </c>
      <c r="V195" s="437">
        <v>1826</v>
      </c>
      <c r="W195" s="457">
        <v>0.6</v>
      </c>
      <c r="X195" s="654"/>
    </row>
    <row r="196" spans="9:24" ht="14.25" customHeight="1">
      <c r="I196" s="431"/>
      <c r="J196" s="431"/>
      <c r="K196" s="431"/>
      <c r="L196" s="431"/>
      <c r="M196" s="591"/>
      <c r="N196" s="431"/>
      <c r="O196" s="431"/>
      <c r="P196" s="445">
        <f t="shared" si="31"/>
        <v>565506</v>
      </c>
      <c r="Q196" s="457">
        <v>565506</v>
      </c>
      <c r="R196" s="457" t="s">
        <v>807</v>
      </c>
      <c r="S196" s="457" t="s">
        <v>86</v>
      </c>
      <c r="T196" s="457" t="s">
        <v>615</v>
      </c>
      <c r="U196" s="437">
        <v>1367906</v>
      </c>
      <c r="V196" s="437">
        <v>1802</v>
      </c>
      <c r="W196" s="457">
        <v>0.6</v>
      </c>
      <c r="X196" s="654"/>
    </row>
    <row r="197" spans="9:24" ht="14.25" customHeight="1">
      <c r="I197" s="431"/>
      <c r="J197" s="431"/>
      <c r="K197" s="431"/>
      <c r="L197" s="431"/>
      <c r="M197" s="591"/>
      <c r="N197" s="431"/>
      <c r="O197" s="431"/>
      <c r="P197" s="445">
        <f t="shared" si="31"/>
        <v>565956</v>
      </c>
      <c r="Q197" s="457">
        <v>565956</v>
      </c>
      <c r="R197" s="457" t="s">
        <v>795</v>
      </c>
      <c r="S197" s="457" t="s">
        <v>86</v>
      </c>
      <c r="T197" s="457" t="s">
        <v>602</v>
      </c>
      <c r="U197" s="437">
        <v>1311157</v>
      </c>
      <c r="V197" s="437">
        <v>1727</v>
      </c>
      <c r="W197" s="457">
        <v>0.2</v>
      </c>
      <c r="X197" s="654"/>
    </row>
    <row r="198" spans="9:24" ht="14.25" customHeight="1">
      <c r="I198" s="431"/>
      <c r="J198" s="431"/>
      <c r="K198" s="431"/>
      <c r="L198" s="431"/>
      <c r="M198" s="591"/>
      <c r="N198" s="431"/>
      <c r="O198" s="431"/>
      <c r="P198" s="445">
        <f t="shared" si="31"/>
        <v>565506</v>
      </c>
      <c r="Q198" s="457">
        <v>565506</v>
      </c>
      <c r="R198" s="457" t="s">
        <v>824</v>
      </c>
      <c r="S198" s="457" t="s">
        <v>86</v>
      </c>
      <c r="T198" s="457" t="s">
        <v>615</v>
      </c>
      <c r="U198" s="437">
        <v>1259601</v>
      </c>
      <c r="V198" s="437">
        <v>1659</v>
      </c>
      <c r="W198" s="457">
        <v>0.6</v>
      </c>
      <c r="X198" s="654"/>
    </row>
    <row r="199" spans="9:24" ht="14.25" customHeight="1">
      <c r="I199" s="431"/>
      <c r="J199" s="431"/>
      <c r="K199" s="431"/>
      <c r="L199" s="431"/>
      <c r="M199" s="591"/>
      <c r="N199" s="431"/>
      <c r="O199" s="431"/>
      <c r="P199" s="445">
        <f t="shared" si="31"/>
        <v>526702</v>
      </c>
      <c r="Q199" s="457">
        <v>526702</v>
      </c>
      <c r="R199" s="457" t="s">
        <v>804</v>
      </c>
      <c r="S199" s="457" t="s">
        <v>86</v>
      </c>
      <c r="T199" s="457" t="s">
        <v>602</v>
      </c>
      <c r="U199" s="437">
        <v>721512</v>
      </c>
      <c r="V199" s="457">
        <v>951</v>
      </c>
      <c r="W199" s="457">
        <v>0.1</v>
      </c>
      <c r="X199" s="654"/>
    </row>
    <row r="200" spans="9:24" ht="14.25" customHeight="1">
      <c r="I200" s="431"/>
      <c r="J200" s="431"/>
      <c r="K200" s="431"/>
      <c r="L200" s="431"/>
      <c r="M200" s="591"/>
      <c r="N200" s="431"/>
      <c r="O200" s="431"/>
      <c r="P200" s="445">
        <f t="shared" si="31"/>
        <v>526556</v>
      </c>
      <c r="Q200" s="457">
        <v>526556</v>
      </c>
      <c r="R200" s="457" t="s">
        <v>802</v>
      </c>
      <c r="S200" s="457" t="s">
        <v>86</v>
      </c>
      <c r="T200" s="457" t="s">
        <v>619</v>
      </c>
      <c r="U200" s="437">
        <v>505037</v>
      </c>
      <c r="V200" s="457">
        <v>665</v>
      </c>
      <c r="W200" s="457">
        <v>0.1</v>
      </c>
      <c r="X200" s="654"/>
    </row>
    <row r="201" spans="9:24" ht="14.25" customHeight="1">
      <c r="I201" s="431"/>
      <c r="J201" s="431"/>
      <c r="K201" s="431"/>
      <c r="L201" s="431"/>
      <c r="M201" s="591"/>
      <c r="N201" s="431"/>
      <c r="O201" s="431"/>
      <c r="P201" s="445">
        <f t="shared" si="31"/>
        <v>567104</v>
      </c>
      <c r="Q201" s="457">
        <v>567104</v>
      </c>
      <c r="R201" s="457" t="s">
        <v>789</v>
      </c>
      <c r="S201" s="457" t="s">
        <v>86</v>
      </c>
      <c r="T201" s="457" t="s">
        <v>609</v>
      </c>
      <c r="U201" s="437">
        <v>461641</v>
      </c>
      <c r="V201" s="457">
        <v>608</v>
      </c>
      <c r="W201" s="457">
        <v>0.1</v>
      </c>
      <c r="X201" s="654"/>
    </row>
    <row r="202" spans="9:24" ht="14.25" customHeight="1">
      <c r="I202" s="431"/>
      <c r="J202" s="431"/>
      <c r="K202" s="431"/>
      <c r="L202" s="431"/>
      <c r="M202" s="591"/>
      <c r="N202" s="431"/>
      <c r="O202" s="431"/>
      <c r="P202" s="445">
        <f t="shared" si="31"/>
        <v>565403</v>
      </c>
      <c r="Q202" s="457">
        <v>565403</v>
      </c>
      <c r="R202" s="457" t="s">
        <v>801</v>
      </c>
      <c r="S202" s="457" t="s">
        <v>86</v>
      </c>
      <c r="T202" s="457" t="s">
        <v>618</v>
      </c>
      <c r="U202" s="437">
        <v>428370</v>
      </c>
      <c r="V202" s="457">
        <v>564</v>
      </c>
      <c r="W202" s="457">
        <v>0.2</v>
      </c>
      <c r="X202" s="654"/>
    </row>
    <row r="203" spans="9:24" ht="14.25" customHeight="1">
      <c r="I203" s="431"/>
      <c r="J203" s="431"/>
      <c r="K203" s="431"/>
      <c r="L203" s="431"/>
      <c r="M203" s="591"/>
      <c r="N203" s="431"/>
      <c r="O203" s="431"/>
      <c r="P203" s="445">
        <f t="shared" si="31"/>
        <v>565505</v>
      </c>
      <c r="Q203" s="457">
        <v>565505</v>
      </c>
      <c r="R203" s="457" t="s">
        <v>811</v>
      </c>
      <c r="S203" s="457" t="s">
        <v>86</v>
      </c>
      <c r="T203" s="457" t="s">
        <v>612</v>
      </c>
      <c r="U203" s="437">
        <v>362081</v>
      </c>
      <c r="V203" s="457">
        <v>477</v>
      </c>
      <c r="W203" s="457">
        <v>0.1</v>
      </c>
      <c r="X203" s="654"/>
    </row>
    <row r="204" spans="9:24" ht="14.25" customHeight="1">
      <c r="I204" s="431"/>
      <c r="J204" s="431"/>
      <c r="K204" s="431"/>
      <c r="L204" s="431"/>
      <c r="M204" s="591"/>
      <c r="N204" s="431"/>
      <c r="O204" s="431"/>
      <c r="P204" s="445">
        <f t="shared" si="31"/>
        <v>521205</v>
      </c>
      <c r="Q204" s="457">
        <v>521205</v>
      </c>
      <c r="R204" s="457" t="s">
        <v>793</v>
      </c>
      <c r="S204" s="457" t="s">
        <v>86</v>
      </c>
      <c r="T204" s="457" t="s">
        <v>610</v>
      </c>
      <c r="U204" s="437">
        <v>234173</v>
      </c>
      <c r="V204" s="457">
        <v>309</v>
      </c>
      <c r="W204" s="457">
        <v>0.1</v>
      </c>
      <c r="X204" s="654"/>
    </row>
    <row r="205" spans="9:24" ht="14.25" customHeight="1">
      <c r="I205" s="431"/>
      <c r="J205" s="431"/>
      <c r="K205" s="431"/>
      <c r="L205" s="431"/>
      <c r="M205" s="591"/>
      <c r="N205" s="431"/>
      <c r="O205" s="431"/>
      <c r="P205" s="445">
        <f t="shared" si="31"/>
        <v>525903</v>
      </c>
      <c r="Q205" s="457">
        <v>525903</v>
      </c>
      <c r="R205" s="457" t="s">
        <v>803</v>
      </c>
      <c r="S205" s="457" t="s">
        <v>86</v>
      </c>
      <c r="T205" s="457" t="s">
        <v>611</v>
      </c>
      <c r="U205" s="437">
        <v>138796</v>
      </c>
      <c r="V205" s="457">
        <v>183</v>
      </c>
      <c r="W205" s="457">
        <v>0</v>
      </c>
      <c r="X205" s="654"/>
    </row>
    <row r="206" spans="9:24" ht="14.25" customHeight="1">
      <c r="I206" s="431"/>
      <c r="J206" s="431"/>
      <c r="K206" s="431"/>
      <c r="L206" s="431"/>
      <c r="M206" s="591"/>
      <c r="N206" s="431"/>
      <c r="O206" s="431"/>
      <c r="P206" s="802" t="e">
        <f t="shared" si="31"/>
        <v>#N/A</v>
      </c>
      <c r="Q206" s="805">
        <v>525904</v>
      </c>
      <c r="R206" s="805" t="s">
        <v>825</v>
      </c>
      <c r="S206" s="805" t="s">
        <v>86</v>
      </c>
      <c r="T206" s="805" t="s">
        <v>611</v>
      </c>
      <c r="U206" s="804">
        <v>75625</v>
      </c>
      <c r="V206" s="805">
        <v>100</v>
      </c>
      <c r="W206" s="805">
        <v>0</v>
      </c>
      <c r="X206" s="806" t="s">
        <v>771</v>
      </c>
    </row>
    <row r="207" spans="9:24" ht="14.25" customHeight="1">
      <c r="I207" s="431"/>
      <c r="J207" s="431"/>
      <c r="K207" s="431"/>
      <c r="L207" s="431"/>
      <c r="M207" s="591"/>
      <c r="N207" s="431"/>
      <c r="O207" s="431"/>
      <c r="P207" s="445">
        <f t="shared" si="31"/>
        <v>565110</v>
      </c>
      <c r="Q207" s="457">
        <v>565110</v>
      </c>
      <c r="R207" s="457" t="s">
        <v>757</v>
      </c>
      <c r="S207" s="457" t="s">
        <v>86</v>
      </c>
      <c r="T207" s="457" t="s">
        <v>615</v>
      </c>
      <c r="U207" s="437">
        <v>70000</v>
      </c>
      <c r="V207" s="457">
        <v>92</v>
      </c>
      <c r="W207" s="457">
        <v>0</v>
      </c>
      <c r="X207" s="654"/>
    </row>
    <row r="208" spans="9:24" ht="14.25" customHeight="1">
      <c r="I208" s="431"/>
      <c r="J208" s="431"/>
      <c r="K208" s="431"/>
      <c r="L208" s="431"/>
      <c r="M208" s="591"/>
      <c r="N208" s="431"/>
      <c r="O208" s="431"/>
      <c r="P208" s="808" t="e">
        <f t="shared" si="31"/>
        <v>#N/A</v>
      </c>
      <c r="Q208" s="811">
        <v>562906</v>
      </c>
      <c r="R208" s="811" t="s">
        <v>826</v>
      </c>
      <c r="S208" s="811" t="s">
        <v>86</v>
      </c>
      <c r="T208" s="811" t="s">
        <v>610</v>
      </c>
      <c r="U208" s="810">
        <v>66718</v>
      </c>
      <c r="V208" s="811">
        <v>88</v>
      </c>
      <c r="W208" s="811">
        <v>0</v>
      </c>
      <c r="X208" s="813"/>
    </row>
    <row r="209" spans="9:24" ht="14.25" customHeight="1">
      <c r="I209" s="431"/>
      <c r="J209" s="431"/>
      <c r="K209" s="431"/>
      <c r="L209" s="431"/>
      <c r="M209" s="591"/>
      <c r="N209" s="431"/>
      <c r="O209" s="431"/>
      <c r="P209" s="819">
        <f t="shared" si="31"/>
        <v>567103</v>
      </c>
      <c r="Q209" s="469">
        <v>567103</v>
      </c>
      <c r="R209" s="469" t="s">
        <v>798</v>
      </c>
      <c r="S209" s="469" t="s">
        <v>86</v>
      </c>
      <c r="T209" s="469" t="s">
        <v>609</v>
      </c>
      <c r="U209" s="463">
        <v>52484</v>
      </c>
      <c r="V209" s="469">
        <v>69</v>
      </c>
      <c r="W209" s="469">
        <v>0</v>
      </c>
      <c r="X209" s="481"/>
    </row>
    <row r="210" spans="9:24" ht="14.25" customHeight="1">
      <c r="I210" s="431"/>
      <c r="J210" s="431"/>
      <c r="K210" s="431"/>
      <c r="L210" s="431"/>
      <c r="M210" s="591"/>
      <c r="N210" s="431"/>
      <c r="O210" s="431"/>
      <c r="P210" s="808" t="e">
        <f t="shared" si="31"/>
        <v>#N/A</v>
      </c>
      <c r="Q210" s="811">
        <v>526203</v>
      </c>
      <c r="R210" s="811" t="s">
        <v>827</v>
      </c>
      <c r="S210" s="811" t="s">
        <v>86</v>
      </c>
      <c r="T210" s="811" t="s">
        <v>669</v>
      </c>
      <c r="U210" s="810">
        <v>10950</v>
      </c>
      <c r="V210" s="811">
        <v>14</v>
      </c>
      <c r="W210" s="811">
        <v>0</v>
      </c>
      <c r="X210" s="813"/>
    </row>
    <row r="211" spans="9:24" ht="14.25" customHeight="1">
      <c r="I211" s="431"/>
      <c r="J211" s="431"/>
      <c r="K211" s="431"/>
      <c r="L211" s="431"/>
      <c r="M211" s="591"/>
      <c r="N211" s="431"/>
      <c r="O211" s="431"/>
      <c r="P211" s="445">
        <f t="shared" si="31"/>
        <v>521901</v>
      </c>
      <c r="Q211" s="457">
        <v>521901</v>
      </c>
      <c r="R211" s="457" t="s">
        <v>750</v>
      </c>
      <c r="S211" s="457" t="s">
        <v>86</v>
      </c>
      <c r="T211" s="457" t="s">
        <v>621</v>
      </c>
      <c r="U211" s="437">
        <v>4150105</v>
      </c>
      <c r="V211" s="437">
        <v>5467</v>
      </c>
      <c r="W211" s="457">
        <v>1.8</v>
      </c>
      <c r="X211" s="654"/>
    </row>
    <row r="212" spans="9:24" ht="14.25" customHeight="1">
      <c r="I212" s="431"/>
      <c r="J212" s="431"/>
      <c r="K212" s="431"/>
      <c r="L212" s="431"/>
      <c r="M212" s="591"/>
      <c r="N212" s="431"/>
      <c r="O212" s="431"/>
      <c r="P212" s="808" t="e">
        <f t="shared" si="31"/>
        <v>#N/A</v>
      </c>
      <c r="Q212" s="811">
        <v>565706</v>
      </c>
      <c r="R212" s="811" t="s">
        <v>828</v>
      </c>
      <c r="S212" s="811" t="s">
        <v>86</v>
      </c>
      <c r="T212" s="811" t="s">
        <v>605</v>
      </c>
      <c r="U212" s="810">
        <v>13268075</v>
      </c>
      <c r="V212" s="810">
        <v>17479</v>
      </c>
      <c r="W212" s="811">
        <v>2.2000000000000002</v>
      </c>
      <c r="X212" s="813"/>
    </row>
    <row r="213" spans="9:24" ht="14.25" customHeight="1">
      <c r="I213" s="431"/>
      <c r="J213" s="431"/>
      <c r="K213" s="431"/>
      <c r="L213" s="431"/>
      <c r="M213" s="591"/>
      <c r="N213" s="431"/>
      <c r="O213" s="431"/>
      <c r="P213" s="445">
        <f t="shared" si="31"/>
        <v>521301</v>
      </c>
      <c r="Q213" s="457">
        <v>521301</v>
      </c>
      <c r="R213" s="457" t="s">
        <v>777</v>
      </c>
      <c r="S213" s="457" t="s">
        <v>86</v>
      </c>
      <c r="T213" s="457" t="s">
        <v>601</v>
      </c>
      <c r="U213" s="437">
        <v>14563377</v>
      </c>
      <c r="V213" s="437">
        <v>19186</v>
      </c>
      <c r="W213" s="457">
        <v>4.7</v>
      </c>
      <c r="X213" s="654"/>
    </row>
    <row r="214" spans="9:24" ht="14.25" customHeight="1">
      <c r="I214" s="431"/>
      <c r="J214" s="431"/>
      <c r="K214" s="431"/>
      <c r="L214" s="431"/>
      <c r="M214" s="591"/>
      <c r="N214" s="431"/>
      <c r="O214" s="431"/>
      <c r="P214" s="445">
        <f t="shared" si="31"/>
        <v>562204</v>
      </c>
      <c r="Q214" s="457">
        <v>562204</v>
      </c>
      <c r="R214" s="457" t="s">
        <v>744</v>
      </c>
      <c r="S214" s="457" t="s">
        <v>86</v>
      </c>
      <c r="T214" s="457" t="s">
        <v>621</v>
      </c>
      <c r="U214" s="437">
        <v>17601838</v>
      </c>
      <c r="V214" s="437">
        <v>23189</v>
      </c>
      <c r="W214" s="457">
        <v>7.6</v>
      </c>
      <c r="X214" s="654"/>
    </row>
    <row r="215" spans="9:24" ht="14.25" customHeight="1">
      <c r="I215" s="431"/>
      <c r="J215" s="431"/>
      <c r="K215" s="431"/>
      <c r="L215" s="431"/>
      <c r="M215" s="591"/>
      <c r="N215" s="431"/>
      <c r="O215" s="431"/>
      <c r="P215" s="445">
        <f t="shared" si="31"/>
        <v>562204</v>
      </c>
      <c r="Q215" s="457">
        <v>562204</v>
      </c>
      <c r="R215" s="457" t="s">
        <v>744</v>
      </c>
      <c r="S215" s="457" t="s">
        <v>86</v>
      </c>
      <c r="T215" s="457" t="s">
        <v>621</v>
      </c>
      <c r="U215" s="437">
        <v>17601838</v>
      </c>
      <c r="V215" s="437">
        <v>23189</v>
      </c>
      <c r="W215" s="457">
        <v>10.6</v>
      </c>
      <c r="X215" s="654"/>
    </row>
    <row r="216" spans="9:24" ht="14.25" customHeight="1">
      <c r="I216" s="431"/>
      <c r="J216" s="431"/>
      <c r="K216" s="431"/>
      <c r="L216" s="431"/>
      <c r="M216" s="591"/>
      <c r="N216" s="431"/>
      <c r="O216" s="431"/>
      <c r="P216" s="431"/>
      <c r="Q216" s="450"/>
      <c r="R216" s="450"/>
      <c r="S216" s="450"/>
      <c r="T216" s="450"/>
      <c r="U216" s="450"/>
      <c r="V216" s="450"/>
      <c r="W216" s="450"/>
      <c r="X216" s="654"/>
    </row>
    <row r="217" spans="9:24" ht="14.25" customHeight="1">
      <c r="I217" s="431"/>
      <c r="J217" s="431"/>
      <c r="K217" s="431"/>
      <c r="L217" s="431"/>
      <c r="M217" s="591"/>
      <c r="N217" s="431"/>
      <c r="O217" s="431"/>
      <c r="P217" s="431"/>
      <c r="Q217" s="431"/>
      <c r="R217" s="431"/>
      <c r="S217" s="431"/>
      <c r="T217" s="431"/>
      <c r="U217" s="431"/>
      <c r="V217" s="431"/>
      <c r="W217" s="431"/>
      <c r="X217" s="654"/>
    </row>
    <row r="218" spans="9:24" ht="14.25" customHeight="1">
      <c r="I218" s="431"/>
      <c r="J218" s="431"/>
      <c r="K218" s="431"/>
      <c r="L218" s="431"/>
      <c r="M218" s="591"/>
      <c r="N218" s="431"/>
      <c r="O218" s="431"/>
      <c r="P218" s="431"/>
      <c r="Q218" s="431"/>
      <c r="R218" s="431"/>
      <c r="S218" s="431"/>
      <c r="T218" s="431"/>
      <c r="U218" s="431"/>
      <c r="V218" s="431"/>
      <c r="W218" s="431"/>
      <c r="X218" s="654"/>
    </row>
    <row r="219" spans="9:24" ht="14.25" customHeight="1">
      <c r="I219" s="431"/>
      <c r="J219" s="431"/>
      <c r="K219" s="431"/>
      <c r="L219" s="431"/>
      <c r="M219" s="591"/>
      <c r="N219" s="431"/>
      <c r="O219" s="431"/>
      <c r="P219" s="431"/>
      <c r="Q219" s="431"/>
      <c r="R219" s="431"/>
      <c r="S219" s="431"/>
      <c r="T219" s="431"/>
      <c r="U219" s="431"/>
      <c r="V219" s="431"/>
      <c r="W219" s="431"/>
      <c r="X219" s="654"/>
    </row>
    <row r="220" spans="9:24" ht="14.25" customHeight="1">
      <c r="I220" s="431"/>
      <c r="J220" s="431"/>
      <c r="K220" s="431"/>
      <c r="L220" s="431"/>
      <c r="M220" s="591"/>
      <c r="N220" s="431"/>
      <c r="O220" s="431"/>
      <c r="P220" s="431"/>
      <c r="Q220" s="431"/>
      <c r="R220" s="431"/>
      <c r="S220" s="431"/>
      <c r="T220" s="431"/>
      <c r="U220" s="431"/>
      <c r="V220" s="431"/>
      <c r="W220" s="431">
        <f>W191+W206+W153+W124++W113+W108+W102</f>
        <v>545</v>
      </c>
      <c r="X220" s="654"/>
    </row>
    <row r="221" spans="9:24" ht="14.25" customHeight="1">
      <c r="I221" s="431"/>
      <c r="J221" s="431"/>
      <c r="K221" s="431"/>
      <c r="L221" s="431"/>
      <c r="M221" s="591"/>
      <c r="N221" s="431"/>
      <c r="O221" s="431"/>
      <c r="P221" s="431"/>
      <c r="Q221" s="431"/>
      <c r="R221" s="431"/>
      <c r="S221" s="431"/>
      <c r="T221" s="431"/>
      <c r="U221" s="431"/>
      <c r="V221" s="431"/>
      <c r="W221" s="431">
        <f>W176+W187+W212+W150+W151+W120</f>
        <v>1064.4000000000001</v>
      </c>
      <c r="X221" s="654"/>
    </row>
  </sheetData>
  <autoFilter ref="M15:Q33" xr:uid="{00000000-0009-0000-0000-00000A000000}">
    <sortState xmlns:xlrd2="http://schemas.microsoft.com/office/spreadsheetml/2017/richdata2" ref="M15:Q33">
      <sortCondition ref="M15:M33"/>
    </sortState>
  </autoFilter>
  <customSheetViews>
    <customSheetView guid="{5C7537C2-D734-4B42-91C1-BA48AAEF2F9C}" filter="1" showAutoFilter="1">
      <pageMargins left="0.7" right="0.7" top="0.75" bottom="0.75" header="0.3" footer="0.3"/>
      <autoFilter ref="P92:W217" xr:uid="{1CBF22F2-0424-4909-A879-D747E5CD2EA9}"/>
      <extLst>
        <ext uri="GoogleSheetsCustomDataVersion1">
          <go:sheetsCustomData xmlns:go="http://customooxmlschemas.google.com/" filterViewId="1838150578"/>
        </ext>
      </extLst>
    </customSheetView>
  </customSheetViews>
  <mergeCells count="19">
    <mergeCell ref="A168:D168"/>
    <mergeCell ref="I168:L168"/>
    <mergeCell ref="A38:I38"/>
    <mergeCell ref="P39:P45"/>
    <mergeCell ref="P46:P56"/>
    <mergeCell ref="A60:B60"/>
    <mergeCell ref="A64:F64"/>
    <mergeCell ref="H64:M64"/>
    <mergeCell ref="O64:T64"/>
    <mergeCell ref="R14:S14"/>
    <mergeCell ref="T14:U14"/>
    <mergeCell ref="A91:D91"/>
    <mergeCell ref="I91:L91"/>
    <mergeCell ref="Q91:T91"/>
    <mergeCell ref="A1:B1"/>
    <mergeCell ref="B3:G5"/>
    <mergeCell ref="A14:E14"/>
    <mergeCell ref="G14:K14"/>
    <mergeCell ref="M14:Q14"/>
  </mergeCells>
  <pageMargins left="0.7" right="0.7" top="0.75" bottom="0.75"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L76"/>
  <sheetViews>
    <sheetView showGridLines="0" workbookViewId="0">
      <selection activeCell="B3" sqref="B3"/>
    </sheetView>
  </sheetViews>
  <sheetFormatPr baseColWidth="10" defaultColWidth="12.6640625" defaultRowHeight="15" customHeight="1"/>
  <cols>
    <col min="1" max="1" width="23.44140625" customWidth="1"/>
    <col min="2" max="2" width="29.109375" customWidth="1"/>
    <col min="3" max="3" width="16.21875" customWidth="1"/>
    <col min="4" max="12" width="16.44140625" customWidth="1"/>
    <col min="13" max="17" width="10.6640625" customWidth="1"/>
  </cols>
  <sheetData>
    <row r="1" spans="1:12" ht="12" customHeight="1">
      <c r="A1" s="1509" t="s">
        <v>829</v>
      </c>
      <c r="B1" s="1392"/>
      <c r="C1" s="1392"/>
      <c r="D1" s="1392"/>
      <c r="E1" s="1392"/>
      <c r="F1" s="1392"/>
      <c r="G1" s="1392"/>
      <c r="H1" s="1392"/>
      <c r="I1" s="1392"/>
      <c r="J1" s="1392"/>
      <c r="K1" s="1392"/>
      <c r="L1" s="1393"/>
    </row>
    <row r="2" spans="1:12" ht="12" customHeight="1">
      <c r="A2" s="821">
        <v>1</v>
      </c>
      <c r="B2" s="822" t="s">
        <v>830</v>
      </c>
      <c r="C2" s="1510" t="s">
        <v>831</v>
      </c>
      <c r="D2" s="1460"/>
      <c r="E2" s="1460"/>
      <c r="F2" s="1460"/>
      <c r="G2" s="1460"/>
      <c r="H2" s="1460"/>
      <c r="I2" s="1460"/>
      <c r="J2" s="1460"/>
      <c r="K2" s="1460"/>
      <c r="L2" s="1511"/>
    </row>
    <row r="3" spans="1:12" ht="12" customHeight="1">
      <c r="A3" s="821">
        <v>1</v>
      </c>
      <c r="B3" s="822" t="s">
        <v>45</v>
      </c>
      <c r="C3" s="1510" t="s">
        <v>832</v>
      </c>
      <c r="D3" s="1460"/>
      <c r="E3" s="1460"/>
      <c r="F3" s="1460"/>
      <c r="G3" s="1460"/>
      <c r="H3" s="1460"/>
      <c r="I3" s="1460"/>
      <c r="J3" s="1460"/>
      <c r="K3" s="1460"/>
      <c r="L3" s="1511"/>
    </row>
    <row r="4" spans="1:12" ht="12" customHeight="1">
      <c r="A4" s="821">
        <v>2</v>
      </c>
      <c r="B4" s="822" t="s">
        <v>833</v>
      </c>
      <c r="C4" s="1510" t="s">
        <v>834</v>
      </c>
      <c r="D4" s="1460"/>
      <c r="E4" s="1460"/>
      <c r="F4" s="1460"/>
      <c r="G4" s="1460"/>
      <c r="H4" s="1460"/>
      <c r="I4" s="1460"/>
      <c r="J4" s="1460"/>
      <c r="K4" s="1460"/>
      <c r="L4" s="1511"/>
    </row>
    <row r="5" spans="1:12" ht="12" customHeight="1">
      <c r="A5" s="821">
        <v>3</v>
      </c>
      <c r="B5" s="822" t="s">
        <v>835</v>
      </c>
      <c r="C5" s="1510" t="s">
        <v>836</v>
      </c>
      <c r="D5" s="1460"/>
      <c r="E5" s="1460"/>
      <c r="F5" s="1460"/>
      <c r="G5" s="1460"/>
      <c r="H5" s="1460"/>
      <c r="I5" s="1460"/>
      <c r="J5" s="1460"/>
      <c r="K5" s="1460"/>
      <c r="L5" s="1511"/>
    </row>
    <row r="6" spans="1:12" ht="12" customHeight="1">
      <c r="A6" s="821">
        <v>4</v>
      </c>
      <c r="B6" s="822" t="s">
        <v>837</v>
      </c>
      <c r="C6" s="1510" t="s">
        <v>838</v>
      </c>
      <c r="D6" s="1460"/>
      <c r="E6" s="1460"/>
      <c r="F6" s="1460"/>
      <c r="G6" s="1460"/>
      <c r="H6" s="1460"/>
      <c r="I6" s="1460"/>
      <c r="J6" s="1460"/>
      <c r="K6" s="1460"/>
      <c r="L6" s="1511"/>
    </row>
    <row r="7" spans="1:12" ht="12" customHeight="1">
      <c r="A7" s="821">
        <v>5</v>
      </c>
      <c r="B7" s="822" t="s">
        <v>839</v>
      </c>
      <c r="C7" s="1510" t="s">
        <v>840</v>
      </c>
      <c r="D7" s="1460"/>
      <c r="E7" s="1460"/>
      <c r="F7" s="1460"/>
      <c r="G7" s="1460"/>
      <c r="H7" s="1460"/>
      <c r="I7" s="1460"/>
      <c r="J7" s="1460"/>
      <c r="K7" s="1460"/>
      <c r="L7" s="1511"/>
    </row>
    <row r="8" spans="1:12" ht="12" customHeight="1">
      <c r="A8" s="823"/>
      <c r="B8" s="823"/>
      <c r="C8" s="824"/>
      <c r="D8" s="825"/>
      <c r="E8" s="825"/>
      <c r="F8" s="825"/>
      <c r="G8" s="825"/>
      <c r="H8" s="825"/>
      <c r="I8" s="825"/>
      <c r="J8" s="825"/>
      <c r="K8" s="825"/>
      <c r="L8" s="825"/>
    </row>
    <row r="9" spans="1:12" ht="12" customHeight="1">
      <c r="A9" s="823"/>
      <c r="B9" s="823"/>
      <c r="C9" s="824"/>
      <c r="D9" s="825"/>
      <c r="E9" s="825"/>
      <c r="F9" s="825"/>
      <c r="G9" s="825"/>
      <c r="H9" s="825"/>
      <c r="I9" s="825"/>
      <c r="J9" s="825"/>
      <c r="K9" s="825"/>
      <c r="L9" s="825"/>
    </row>
    <row r="10" spans="1:12" ht="12" customHeight="1">
      <c r="A10" s="1520" t="s">
        <v>841</v>
      </c>
      <c r="B10" s="1434"/>
      <c r="C10" s="1434"/>
      <c r="D10" s="1434"/>
      <c r="E10" s="1434"/>
      <c r="F10" s="1434"/>
      <c r="G10" s="1434"/>
      <c r="H10" s="1434"/>
      <c r="I10" s="1434"/>
      <c r="J10" s="1434"/>
      <c r="K10" s="1434"/>
      <c r="L10" s="1435"/>
    </row>
    <row r="11" spans="1:12" ht="12" customHeight="1">
      <c r="A11" s="826" t="s">
        <v>842</v>
      </c>
      <c r="B11" s="827" t="s">
        <v>843</v>
      </c>
      <c r="C11" s="828" t="s">
        <v>844</v>
      </c>
      <c r="D11" s="829" t="s">
        <v>845</v>
      </c>
      <c r="E11" s="830" t="s">
        <v>846</v>
      </c>
      <c r="F11" s="830" t="s">
        <v>847</v>
      </c>
      <c r="G11" s="830" t="s">
        <v>848</v>
      </c>
      <c r="H11" s="830" t="s">
        <v>849</v>
      </c>
      <c r="I11" s="781" t="s">
        <v>850</v>
      </c>
      <c r="J11" s="831" t="s">
        <v>851</v>
      </c>
      <c r="K11" s="831" t="s">
        <v>852</v>
      </c>
      <c r="L11" s="832" t="s">
        <v>853</v>
      </c>
    </row>
    <row r="12" spans="1:12" ht="12" customHeight="1">
      <c r="A12" s="833"/>
      <c r="B12" s="834" t="s">
        <v>854</v>
      </c>
      <c r="C12" s="835">
        <v>0.60818000000000005</v>
      </c>
      <c r="D12" s="836" t="s">
        <v>855</v>
      </c>
      <c r="E12" s="837">
        <v>0.58433000000000002</v>
      </c>
      <c r="F12" s="838">
        <v>0.34</v>
      </c>
      <c r="G12" s="1512">
        <v>587</v>
      </c>
      <c r="H12" s="1512">
        <v>758</v>
      </c>
      <c r="I12" s="1515">
        <v>2515</v>
      </c>
      <c r="J12" s="1516">
        <v>14005189</v>
      </c>
      <c r="K12" s="1516">
        <f>J12/237/I12</f>
        <v>23.496470963250033</v>
      </c>
      <c r="L12" s="1519">
        <v>3248</v>
      </c>
    </row>
    <row r="13" spans="1:12" ht="12" customHeight="1">
      <c r="A13" s="833"/>
      <c r="B13" s="834" t="s">
        <v>856</v>
      </c>
      <c r="C13" s="835">
        <v>8.8590000000000002E-2</v>
      </c>
      <c r="D13" s="836" t="s">
        <v>857</v>
      </c>
      <c r="E13" s="837">
        <v>0.23508999999999999</v>
      </c>
      <c r="F13" s="838">
        <v>0.01</v>
      </c>
      <c r="G13" s="1513"/>
      <c r="H13" s="1513"/>
      <c r="I13" s="1513"/>
      <c r="J13" s="1517"/>
      <c r="K13" s="1517"/>
      <c r="L13" s="1387"/>
    </row>
    <row r="14" spans="1:12" ht="12" customHeight="1">
      <c r="A14" s="833"/>
      <c r="B14" s="834" t="s">
        <v>858</v>
      </c>
      <c r="C14" s="839">
        <v>2.555E-2</v>
      </c>
      <c r="D14" s="836" t="s">
        <v>859</v>
      </c>
      <c r="E14" s="837">
        <v>8.8590000000000002E-2</v>
      </c>
      <c r="F14" s="838">
        <v>0.11</v>
      </c>
      <c r="G14" s="1513"/>
      <c r="H14" s="1513"/>
      <c r="I14" s="1513"/>
      <c r="J14" s="1517"/>
      <c r="K14" s="1517"/>
      <c r="L14" s="1387"/>
    </row>
    <row r="15" spans="1:12" ht="12" customHeight="1">
      <c r="A15" s="833"/>
      <c r="B15" s="834" t="s">
        <v>860</v>
      </c>
      <c r="C15" s="839">
        <v>8.0070000000000002E-2</v>
      </c>
      <c r="D15" s="836" t="s">
        <v>861</v>
      </c>
      <c r="E15" s="837">
        <v>6.8239999999999995E-2</v>
      </c>
      <c r="F15" s="840">
        <v>0.01</v>
      </c>
      <c r="G15" s="1513"/>
      <c r="H15" s="1513"/>
      <c r="I15" s="1513"/>
      <c r="J15" s="1517"/>
      <c r="K15" s="1517"/>
      <c r="L15" s="1387"/>
    </row>
    <row r="16" spans="1:12" ht="12" customHeight="1">
      <c r="A16" s="833"/>
      <c r="B16" s="834" t="s">
        <v>862</v>
      </c>
      <c r="C16" s="839">
        <v>0.10221</v>
      </c>
      <c r="D16" s="836" t="s">
        <v>863</v>
      </c>
      <c r="E16" s="837">
        <v>1.533E-2</v>
      </c>
      <c r="F16" s="841">
        <v>0</v>
      </c>
      <c r="G16" s="1513"/>
      <c r="H16" s="1513"/>
      <c r="I16" s="1513"/>
      <c r="J16" s="1517"/>
      <c r="K16" s="1517"/>
      <c r="L16" s="1387"/>
    </row>
    <row r="17" spans="1:12" ht="12" customHeight="1">
      <c r="A17" s="833"/>
      <c r="B17" s="834" t="s">
        <v>864</v>
      </c>
      <c r="C17" s="842">
        <v>9.5399999999999999E-2</v>
      </c>
      <c r="D17" s="836" t="s">
        <v>865</v>
      </c>
      <c r="E17" s="837">
        <v>5.1000000000000004E-3</v>
      </c>
      <c r="F17" s="841">
        <v>0</v>
      </c>
      <c r="G17" s="1513"/>
      <c r="H17" s="1513"/>
      <c r="I17" s="1513"/>
      <c r="J17" s="1517"/>
      <c r="K17" s="1517"/>
      <c r="L17" s="1387"/>
    </row>
    <row r="18" spans="1:12" ht="12" customHeight="1">
      <c r="A18" s="843"/>
      <c r="B18" s="844"/>
      <c r="C18" s="845"/>
      <c r="D18" s="846" t="s">
        <v>866</v>
      </c>
      <c r="E18" s="837">
        <v>3.3E-3</v>
      </c>
      <c r="F18" s="841">
        <v>0</v>
      </c>
      <c r="G18" s="1514"/>
      <c r="H18" s="1514"/>
      <c r="I18" s="1514"/>
      <c r="J18" s="1518"/>
      <c r="K18" s="1518"/>
      <c r="L18" s="1388"/>
    </row>
    <row r="19" spans="1:12" ht="12" customHeight="1">
      <c r="A19" s="823"/>
      <c r="B19" s="823"/>
      <c r="C19" s="847">
        <f>SUM(C12:C18)</f>
        <v>1</v>
      </c>
      <c r="D19" s="825"/>
      <c r="E19" s="847">
        <f>SUM(E12:E18)</f>
        <v>0.99997999999999987</v>
      </c>
      <c r="F19" s="825"/>
      <c r="G19" s="825"/>
      <c r="H19" s="825"/>
      <c r="I19" s="825"/>
      <c r="J19" s="825"/>
      <c r="K19" s="825"/>
      <c r="L19" s="825"/>
    </row>
    <row r="20" spans="1:12" ht="12" customHeight="1">
      <c r="A20" s="823"/>
      <c r="B20" s="823"/>
      <c r="C20" s="824"/>
      <c r="D20" s="825"/>
      <c r="E20" s="825"/>
      <c r="F20" s="825"/>
      <c r="G20" s="825"/>
      <c r="H20" s="825"/>
      <c r="I20" s="825"/>
      <c r="J20" s="848"/>
      <c r="K20" s="825"/>
      <c r="L20" s="825"/>
    </row>
    <row r="21" spans="1:12" ht="12" customHeight="1">
      <c r="I21" s="419"/>
      <c r="J21" s="419"/>
      <c r="K21" s="419"/>
      <c r="L21" s="419"/>
    </row>
    <row r="22" spans="1:12" ht="12" customHeight="1">
      <c r="A22" s="1520" t="s">
        <v>867</v>
      </c>
      <c r="B22" s="1434"/>
      <c r="C22" s="1434"/>
      <c r="D22" s="1434"/>
      <c r="E22" s="1434"/>
      <c r="F22" s="1434"/>
      <c r="G22" s="1434"/>
      <c r="H22" s="1434"/>
      <c r="I22" s="1434"/>
      <c r="J22" s="1434"/>
      <c r="K22" s="1434"/>
      <c r="L22" s="1435"/>
    </row>
    <row r="23" spans="1:12" ht="12" customHeight="1">
      <c r="A23" s="781" t="s">
        <v>842</v>
      </c>
      <c r="B23" s="830" t="s">
        <v>843</v>
      </c>
      <c r="C23" s="830" t="s">
        <v>844</v>
      </c>
      <c r="D23" s="830" t="s">
        <v>845</v>
      </c>
      <c r="E23" s="830" t="s">
        <v>846</v>
      </c>
      <c r="F23" s="830" t="s">
        <v>847</v>
      </c>
      <c r="G23" s="830" t="s">
        <v>848</v>
      </c>
      <c r="H23" s="830" t="s">
        <v>849</v>
      </c>
      <c r="I23" s="781" t="s">
        <v>850</v>
      </c>
      <c r="J23" s="831" t="s">
        <v>851</v>
      </c>
      <c r="K23" s="831" t="s">
        <v>852</v>
      </c>
      <c r="L23" s="832" t="s">
        <v>853</v>
      </c>
    </row>
    <row r="24" spans="1:12" ht="12" customHeight="1">
      <c r="A24" s="843"/>
      <c r="B24" s="849" t="s">
        <v>868</v>
      </c>
      <c r="C24" s="850">
        <v>0.58699999999999997</v>
      </c>
      <c r="D24" s="849" t="s">
        <v>855</v>
      </c>
      <c r="E24" s="851">
        <v>0.50339999999999996</v>
      </c>
      <c r="F24" s="838">
        <v>0.34</v>
      </c>
      <c r="G24" s="1512">
        <v>741</v>
      </c>
      <c r="H24" s="1512">
        <v>1032</v>
      </c>
      <c r="I24" s="1515">
        <v>3176</v>
      </c>
      <c r="J24" s="1516">
        <v>20738287</v>
      </c>
      <c r="K24" s="1516">
        <f>J24/237/I24</f>
        <v>27.551423386368224</v>
      </c>
      <c r="L24" s="1519">
        <v>4424</v>
      </c>
    </row>
    <row r="25" spans="1:12" ht="12" customHeight="1">
      <c r="A25" s="843"/>
      <c r="B25" s="849" t="s">
        <v>869</v>
      </c>
      <c r="C25" s="850">
        <v>0.19969999999999999</v>
      </c>
      <c r="D25" s="849" t="s">
        <v>857</v>
      </c>
      <c r="E25" s="851">
        <v>0.25369999999999998</v>
      </c>
      <c r="F25" s="838">
        <v>0.01</v>
      </c>
      <c r="G25" s="1513"/>
      <c r="H25" s="1513"/>
      <c r="I25" s="1513"/>
      <c r="J25" s="1517"/>
      <c r="K25" s="1517"/>
      <c r="L25" s="1387"/>
    </row>
    <row r="26" spans="1:12" ht="12" customHeight="1">
      <c r="A26" s="843"/>
      <c r="B26" s="849" t="s">
        <v>870</v>
      </c>
      <c r="C26" s="850">
        <v>0.11070000000000001</v>
      </c>
      <c r="D26" s="849" t="s">
        <v>871</v>
      </c>
      <c r="E26" s="851">
        <v>0.19969999999999999</v>
      </c>
      <c r="F26" s="838">
        <v>0.11</v>
      </c>
      <c r="G26" s="1513"/>
      <c r="H26" s="1513"/>
      <c r="I26" s="1513"/>
      <c r="J26" s="1517"/>
      <c r="K26" s="1517"/>
      <c r="L26" s="1387"/>
    </row>
    <row r="27" spans="1:12" ht="12" customHeight="1">
      <c r="A27" s="843"/>
      <c r="B27" s="849" t="s">
        <v>872</v>
      </c>
      <c r="C27" s="850">
        <v>5.5300000000000002E-2</v>
      </c>
      <c r="D27" s="849" t="s">
        <v>861</v>
      </c>
      <c r="E27" s="851">
        <v>2.4299999999999999E-2</v>
      </c>
      <c r="F27" s="840">
        <v>0.01</v>
      </c>
      <c r="G27" s="1513"/>
      <c r="H27" s="1513"/>
      <c r="I27" s="1513"/>
      <c r="J27" s="1517"/>
      <c r="K27" s="1517"/>
      <c r="L27" s="1387"/>
    </row>
    <row r="28" spans="1:12" ht="12" customHeight="1">
      <c r="A28" s="843"/>
      <c r="B28" s="849" t="s">
        <v>873</v>
      </c>
      <c r="C28" s="850">
        <v>4.7199999999999999E-2</v>
      </c>
      <c r="D28" s="849" t="s">
        <v>863</v>
      </c>
      <c r="E28" s="851">
        <v>1.89E-2</v>
      </c>
      <c r="F28" s="840">
        <v>0.12</v>
      </c>
      <c r="G28" s="1514"/>
      <c r="H28" s="1514"/>
      <c r="I28" s="1514"/>
      <c r="J28" s="1518"/>
      <c r="K28" s="1518"/>
      <c r="L28" s="1388"/>
    </row>
    <row r="29" spans="1:12" ht="12" customHeight="1">
      <c r="A29" s="823"/>
      <c r="B29" s="823"/>
      <c r="C29" s="852">
        <f>SUM(C24:C28)</f>
        <v>0.99990000000000001</v>
      </c>
      <c r="D29" s="825"/>
      <c r="E29" s="852">
        <f>SUM(E24:E28)</f>
        <v>0.99999999999999989</v>
      </c>
      <c r="F29" s="825"/>
      <c r="G29" s="825"/>
      <c r="H29" s="825"/>
      <c r="I29" s="825"/>
      <c r="J29" s="825"/>
      <c r="K29" s="825"/>
      <c r="L29" s="825"/>
    </row>
    <row r="34" spans="1:12" ht="12" customHeight="1">
      <c r="A34" s="1523" t="s">
        <v>874</v>
      </c>
      <c r="B34" s="1463"/>
      <c r="C34" s="1463"/>
      <c r="D34" s="1463"/>
      <c r="E34" s="1463"/>
      <c r="F34" s="1463"/>
      <c r="G34" s="1463"/>
      <c r="H34" s="1463"/>
      <c r="I34" s="1463"/>
      <c r="J34" s="1463"/>
      <c r="K34" s="1463"/>
      <c r="L34" s="1464"/>
    </row>
    <row r="35" spans="1:12" ht="12" customHeight="1">
      <c r="A35" s="451" t="s">
        <v>875</v>
      </c>
      <c r="B35" s="451" t="s">
        <v>259</v>
      </c>
      <c r="C35" s="451" t="s">
        <v>876</v>
      </c>
      <c r="D35" s="451">
        <v>2021</v>
      </c>
      <c r="E35" s="451">
        <v>2022</v>
      </c>
      <c r="F35" s="853" t="s">
        <v>8</v>
      </c>
      <c r="G35" s="1524" t="s">
        <v>877</v>
      </c>
      <c r="H35" s="1457"/>
      <c r="I35" s="1457"/>
      <c r="J35" s="1457"/>
      <c r="K35" s="1457"/>
      <c r="L35" s="1457"/>
    </row>
    <row r="36" spans="1:12" ht="12" customHeight="1">
      <c r="A36" s="1521" t="s">
        <v>389</v>
      </c>
      <c r="B36" s="457" t="s">
        <v>854</v>
      </c>
      <c r="C36" s="426" t="s">
        <v>47</v>
      </c>
      <c r="D36" s="752">
        <f t="shared" ref="D36:D37" si="0">C24</f>
        <v>0.58699999999999997</v>
      </c>
      <c r="E36" s="752">
        <f t="shared" ref="E36:E39" si="1">C12</f>
        <v>0.60818000000000005</v>
      </c>
      <c r="F36" s="752">
        <f t="shared" ref="F36:F45" si="2">E36-D36</f>
        <v>2.1180000000000088E-2</v>
      </c>
      <c r="G36" s="1525" t="s">
        <v>878</v>
      </c>
      <c r="H36" s="1392"/>
      <c r="I36" s="1392"/>
      <c r="J36" s="1392"/>
      <c r="K36" s="1392"/>
      <c r="L36" s="1393"/>
    </row>
    <row r="37" spans="1:12" ht="12" customHeight="1">
      <c r="A37" s="1387"/>
      <c r="B37" s="457" t="s">
        <v>879</v>
      </c>
      <c r="C37" s="426" t="s">
        <v>47</v>
      </c>
      <c r="D37" s="854">
        <f t="shared" si="0"/>
        <v>0.19969999999999999</v>
      </c>
      <c r="E37" s="752">
        <f t="shared" si="1"/>
        <v>8.8590000000000002E-2</v>
      </c>
      <c r="F37" s="752">
        <f t="shared" si="2"/>
        <v>-0.11110999999999999</v>
      </c>
      <c r="G37" s="1525" t="s">
        <v>880</v>
      </c>
      <c r="H37" s="1392"/>
      <c r="I37" s="1392"/>
      <c r="J37" s="1392"/>
      <c r="K37" s="1392"/>
      <c r="L37" s="1393"/>
    </row>
    <row r="38" spans="1:12" ht="12" customHeight="1">
      <c r="A38" s="1387"/>
      <c r="B38" s="457" t="s">
        <v>881</v>
      </c>
      <c r="C38" s="426" t="s">
        <v>47</v>
      </c>
      <c r="D38" s="752">
        <f>C28</f>
        <v>4.7199999999999999E-2</v>
      </c>
      <c r="E38" s="752">
        <f t="shared" si="1"/>
        <v>2.555E-2</v>
      </c>
      <c r="F38" s="752">
        <f t="shared" si="2"/>
        <v>-2.1649999999999999E-2</v>
      </c>
      <c r="G38" s="1525" t="s">
        <v>882</v>
      </c>
      <c r="H38" s="1392"/>
      <c r="I38" s="1392"/>
      <c r="J38" s="1392"/>
      <c r="K38" s="1392"/>
      <c r="L38" s="1393"/>
    </row>
    <row r="39" spans="1:12" ht="12" customHeight="1">
      <c r="A39" s="1387"/>
      <c r="B39" s="457" t="s">
        <v>883</v>
      </c>
      <c r="C39" s="426" t="s">
        <v>47</v>
      </c>
      <c r="D39" s="752">
        <f>C27</f>
        <v>5.5300000000000002E-2</v>
      </c>
      <c r="E39" s="752">
        <f t="shared" si="1"/>
        <v>8.0070000000000002E-2</v>
      </c>
      <c r="F39" s="752">
        <f t="shared" si="2"/>
        <v>2.477E-2</v>
      </c>
      <c r="G39" s="1525" t="s">
        <v>884</v>
      </c>
      <c r="H39" s="1392"/>
      <c r="I39" s="1392"/>
      <c r="J39" s="1392"/>
      <c r="K39" s="1392"/>
      <c r="L39" s="1393"/>
    </row>
    <row r="40" spans="1:12" ht="12" customHeight="1">
      <c r="A40" s="1388"/>
      <c r="B40" s="457" t="s">
        <v>885</v>
      </c>
      <c r="C40" s="426" t="s">
        <v>47</v>
      </c>
      <c r="D40" s="752">
        <f>C26</f>
        <v>0.11070000000000001</v>
      </c>
      <c r="E40" s="854">
        <f>C17+C16</f>
        <v>0.19761000000000001</v>
      </c>
      <c r="F40" s="752">
        <f t="shared" si="2"/>
        <v>8.6910000000000001E-2</v>
      </c>
      <c r="G40" s="1525" t="s">
        <v>886</v>
      </c>
      <c r="H40" s="1392"/>
      <c r="I40" s="1392"/>
      <c r="J40" s="1392"/>
      <c r="K40" s="1392"/>
      <c r="L40" s="1393"/>
    </row>
    <row r="41" spans="1:12" ht="12" customHeight="1">
      <c r="A41" s="1521" t="s">
        <v>887</v>
      </c>
      <c r="B41" s="457" t="s">
        <v>855</v>
      </c>
      <c r="C41" s="426" t="s">
        <v>47</v>
      </c>
      <c r="D41" s="752">
        <f t="shared" ref="D41:D45" si="3">E24</f>
        <v>0.50339999999999996</v>
      </c>
      <c r="E41" s="752">
        <f t="shared" ref="E41:E47" si="4">E12</f>
        <v>0.58433000000000002</v>
      </c>
      <c r="F41" s="752">
        <f t="shared" si="2"/>
        <v>8.0930000000000057E-2</v>
      </c>
      <c r="G41" s="1525" t="s">
        <v>888</v>
      </c>
      <c r="H41" s="1392"/>
      <c r="I41" s="1392"/>
      <c r="J41" s="1392"/>
      <c r="K41" s="1392"/>
      <c r="L41" s="1393"/>
    </row>
    <row r="42" spans="1:12" ht="12" customHeight="1">
      <c r="A42" s="1387"/>
      <c r="B42" s="457" t="s">
        <v>857</v>
      </c>
      <c r="C42" s="426" t="s">
        <v>47</v>
      </c>
      <c r="D42" s="752">
        <f t="shared" si="3"/>
        <v>0.25369999999999998</v>
      </c>
      <c r="E42" s="752">
        <f t="shared" si="4"/>
        <v>0.23508999999999999</v>
      </c>
      <c r="F42" s="752">
        <f t="shared" si="2"/>
        <v>-1.8609999999999988E-2</v>
      </c>
      <c r="G42" s="1525" t="s">
        <v>889</v>
      </c>
      <c r="H42" s="1392"/>
      <c r="I42" s="1392"/>
      <c r="J42" s="1392"/>
      <c r="K42" s="1392"/>
      <c r="L42" s="1393"/>
    </row>
    <row r="43" spans="1:12" ht="12" customHeight="1">
      <c r="A43" s="1387"/>
      <c r="B43" s="457" t="s">
        <v>859</v>
      </c>
      <c r="C43" s="426" t="s">
        <v>47</v>
      </c>
      <c r="D43" s="752">
        <f t="shared" si="3"/>
        <v>0.19969999999999999</v>
      </c>
      <c r="E43" s="752">
        <f t="shared" si="4"/>
        <v>8.8590000000000002E-2</v>
      </c>
      <c r="F43" s="752">
        <f t="shared" si="2"/>
        <v>-0.11110999999999999</v>
      </c>
      <c r="G43" s="1525" t="s">
        <v>890</v>
      </c>
      <c r="H43" s="1392"/>
      <c r="I43" s="1392"/>
      <c r="J43" s="1392"/>
      <c r="K43" s="1392"/>
      <c r="L43" s="1393"/>
    </row>
    <row r="44" spans="1:12" ht="12" customHeight="1">
      <c r="A44" s="1387"/>
      <c r="B44" s="457" t="s">
        <v>861</v>
      </c>
      <c r="C44" s="426" t="s">
        <v>47</v>
      </c>
      <c r="D44" s="752">
        <f t="shared" si="3"/>
        <v>2.4299999999999999E-2</v>
      </c>
      <c r="E44" s="752">
        <f t="shared" si="4"/>
        <v>6.8239999999999995E-2</v>
      </c>
      <c r="F44" s="752">
        <f t="shared" si="2"/>
        <v>4.3939999999999993E-2</v>
      </c>
      <c r="G44" s="1525" t="s">
        <v>891</v>
      </c>
      <c r="H44" s="1392"/>
      <c r="I44" s="1392"/>
      <c r="J44" s="1392"/>
      <c r="K44" s="1392"/>
      <c r="L44" s="1393"/>
    </row>
    <row r="45" spans="1:12" ht="12" customHeight="1">
      <c r="A45" s="1387"/>
      <c r="B45" s="457" t="s">
        <v>863</v>
      </c>
      <c r="C45" s="426" t="s">
        <v>47</v>
      </c>
      <c r="D45" s="752">
        <f t="shared" si="3"/>
        <v>1.89E-2</v>
      </c>
      <c r="E45" s="752">
        <f t="shared" si="4"/>
        <v>1.533E-2</v>
      </c>
      <c r="F45" s="752">
        <f t="shared" si="2"/>
        <v>-3.5700000000000003E-3</v>
      </c>
      <c r="G45" s="1525" t="s">
        <v>892</v>
      </c>
      <c r="H45" s="1392"/>
      <c r="I45" s="1392"/>
      <c r="J45" s="1392"/>
      <c r="K45" s="1392"/>
      <c r="L45" s="1393"/>
    </row>
    <row r="46" spans="1:12" ht="12" customHeight="1">
      <c r="A46" s="1387"/>
      <c r="B46" s="457" t="s">
        <v>865</v>
      </c>
      <c r="C46" s="426" t="s">
        <v>47</v>
      </c>
      <c r="D46" s="457">
        <v>0</v>
      </c>
      <c r="E46" s="752">
        <f t="shared" si="4"/>
        <v>5.1000000000000004E-3</v>
      </c>
      <c r="F46" s="752">
        <v>0</v>
      </c>
      <c r="G46" s="1525" t="s">
        <v>893</v>
      </c>
      <c r="H46" s="1392"/>
      <c r="I46" s="1392"/>
      <c r="J46" s="1392"/>
      <c r="K46" s="1392"/>
      <c r="L46" s="1393"/>
    </row>
    <row r="47" spans="1:12" ht="12" customHeight="1">
      <c r="A47" s="1388"/>
      <c r="B47" s="457" t="s">
        <v>866</v>
      </c>
      <c r="C47" s="426" t="s">
        <v>47</v>
      </c>
      <c r="D47" s="457">
        <f>0</f>
        <v>0</v>
      </c>
      <c r="E47" s="752">
        <f t="shared" si="4"/>
        <v>3.3E-3</v>
      </c>
      <c r="F47" s="752">
        <v>0</v>
      </c>
      <c r="G47" s="1525" t="s">
        <v>893</v>
      </c>
      <c r="H47" s="1392"/>
      <c r="I47" s="1392"/>
      <c r="J47" s="1392"/>
      <c r="K47" s="1392"/>
      <c r="L47" s="1393"/>
    </row>
    <row r="48" spans="1:12" ht="12" customHeight="1">
      <c r="A48" s="457"/>
      <c r="B48" s="457" t="s">
        <v>894</v>
      </c>
      <c r="C48" s="426" t="s">
        <v>47</v>
      </c>
      <c r="D48" s="437">
        <f>J24/I24</f>
        <v>6529.6873425692693</v>
      </c>
      <c r="E48" s="437">
        <f>J12/I12</f>
        <v>5568.6636182902585</v>
      </c>
      <c r="F48" s="752">
        <f t="shared" ref="F48:F49" si="5">(E48-D48)/D48</f>
        <v>-0.14717760190656723</v>
      </c>
      <c r="G48" s="1525" t="s">
        <v>895</v>
      </c>
      <c r="H48" s="1392"/>
      <c r="I48" s="1392"/>
      <c r="J48" s="1392"/>
      <c r="K48" s="1392"/>
      <c r="L48" s="1393"/>
    </row>
    <row r="49" spans="1:12" ht="12" customHeight="1">
      <c r="A49" s="457"/>
      <c r="B49" s="457" t="s">
        <v>896</v>
      </c>
      <c r="C49" s="426" t="s">
        <v>47</v>
      </c>
      <c r="D49" s="752">
        <f>G24/I24</f>
        <v>0.23331234256926953</v>
      </c>
      <c r="E49" s="752">
        <f>G12/I12</f>
        <v>0.23339960238568588</v>
      </c>
      <c r="F49" s="752">
        <f t="shared" si="5"/>
        <v>3.7400428736619572E-4</v>
      </c>
      <c r="G49" s="1525" t="s">
        <v>897</v>
      </c>
      <c r="H49" s="1392"/>
      <c r="I49" s="1392"/>
      <c r="J49" s="1392"/>
      <c r="K49" s="1392"/>
      <c r="L49" s="1393"/>
    </row>
    <row r="50" spans="1:12" ht="12" customHeight="1">
      <c r="C50" s="139"/>
      <c r="I50" s="419"/>
      <c r="J50" s="419"/>
      <c r="K50" s="419"/>
      <c r="L50" s="419"/>
    </row>
    <row r="51" spans="1:12" ht="12" customHeight="1">
      <c r="C51" s="139"/>
      <c r="I51" s="419"/>
      <c r="J51" s="419"/>
      <c r="K51" s="419"/>
      <c r="L51" s="419"/>
    </row>
    <row r="52" spans="1:12" ht="12" customHeight="1">
      <c r="C52" s="139"/>
      <c r="I52" s="419"/>
      <c r="J52" s="419"/>
      <c r="K52" s="419"/>
      <c r="L52" s="419"/>
    </row>
    <row r="53" spans="1:12" ht="12" customHeight="1">
      <c r="A53" s="1506" t="s">
        <v>468</v>
      </c>
      <c r="B53" s="1392"/>
      <c r="C53" s="1392"/>
      <c r="D53" s="1392"/>
      <c r="E53" s="1392"/>
      <c r="F53" s="1392"/>
      <c r="G53" s="1392"/>
      <c r="H53" s="1392"/>
      <c r="I53" s="1392"/>
      <c r="J53" s="419"/>
      <c r="K53" s="419"/>
      <c r="L53" s="419"/>
    </row>
    <row r="54" spans="1:12" ht="12" customHeight="1">
      <c r="A54" s="693"/>
      <c r="B54" s="501">
        <v>2021</v>
      </c>
      <c r="C54" s="501">
        <v>2022</v>
      </c>
      <c r="D54" s="501" t="s">
        <v>469</v>
      </c>
      <c r="E54" s="501" t="s">
        <v>257</v>
      </c>
      <c r="F54" s="624" t="s">
        <v>496</v>
      </c>
      <c r="G54" s="624"/>
      <c r="H54" s="624"/>
      <c r="I54" s="624"/>
      <c r="J54" s="419"/>
      <c r="K54" s="419"/>
      <c r="L54" s="419"/>
    </row>
    <row r="55" spans="1:12" ht="12" customHeight="1">
      <c r="A55" s="703" t="s">
        <v>898</v>
      </c>
      <c r="B55" s="512">
        <f>(100*C24+ 0*C25+ 25*C26+ 50*C27+ 75*C28)%</f>
        <v>0.67772499999999991</v>
      </c>
      <c r="C55" s="512">
        <f>(100*C12+ 0*C13+ 80*C14 + 60*C15+ 40*C16 + 20*C17) %</f>
        <v>0.73662600000000011</v>
      </c>
      <c r="D55" s="512">
        <f t="shared" ref="D55:D61" si="6">C55-B55</f>
        <v>5.8901000000000203E-2</v>
      </c>
      <c r="E55" s="512">
        <f t="shared" ref="E55:E56" si="7">D55/B55</f>
        <v>8.6909882326902818E-2</v>
      </c>
      <c r="F55" s="705" t="s">
        <v>899</v>
      </c>
      <c r="G55" s="705"/>
      <c r="H55" s="705"/>
      <c r="I55" s="705"/>
      <c r="J55" s="419"/>
      <c r="K55" s="419"/>
      <c r="L55" s="419"/>
    </row>
    <row r="56" spans="1:12" ht="12" customHeight="1">
      <c r="A56" s="703" t="s">
        <v>900</v>
      </c>
      <c r="B56" s="504">
        <f>K24</f>
        <v>27.551423386368224</v>
      </c>
      <c r="C56" s="504">
        <f>K12</f>
        <v>23.496470963250033</v>
      </c>
      <c r="D56" s="504">
        <f t="shared" si="6"/>
        <v>-4.0549524231181913</v>
      </c>
      <c r="E56" s="512">
        <f t="shared" si="7"/>
        <v>-0.14717760190656731</v>
      </c>
      <c r="F56" s="705" t="s">
        <v>901</v>
      </c>
      <c r="G56" s="705"/>
      <c r="H56" s="705"/>
      <c r="I56" s="705"/>
      <c r="J56" s="419"/>
      <c r="K56" s="419"/>
      <c r="L56" s="419"/>
    </row>
    <row r="57" spans="1:12" ht="12" customHeight="1">
      <c r="A57" s="703" t="s">
        <v>902</v>
      </c>
      <c r="B57" s="512">
        <f t="shared" ref="B57:C57" si="8">D41</f>
        <v>0.50339999999999996</v>
      </c>
      <c r="C57" s="512">
        <f t="shared" si="8"/>
        <v>0.58433000000000002</v>
      </c>
      <c r="D57" s="512">
        <f t="shared" si="6"/>
        <v>8.0930000000000057E-2</v>
      </c>
      <c r="E57" s="512">
        <f>D57</f>
        <v>8.0930000000000057E-2</v>
      </c>
      <c r="F57" s="705" t="s">
        <v>903</v>
      </c>
      <c r="G57" s="705"/>
      <c r="H57" s="705"/>
      <c r="I57" s="705"/>
      <c r="J57" s="419"/>
      <c r="K57" s="419"/>
      <c r="L57" s="419"/>
    </row>
    <row r="58" spans="1:12" ht="12" customHeight="1">
      <c r="A58" s="855" t="s">
        <v>904</v>
      </c>
      <c r="B58" s="856">
        <f>L24*1000/I24/237</f>
        <v>5.8774139378673382</v>
      </c>
      <c r="C58" s="856">
        <f>L12*1000/I12/237</f>
        <v>5.4491615706604248</v>
      </c>
      <c r="D58" s="856">
        <f t="shared" si="6"/>
        <v>-0.4282523672069134</v>
      </c>
      <c r="E58" s="627">
        <f t="shared" ref="E58:E61" si="9">D58/B58</f>
        <v>-7.2864081334776273E-2</v>
      </c>
      <c r="F58" s="857" t="s">
        <v>905</v>
      </c>
      <c r="G58" s="857"/>
      <c r="H58" s="857"/>
      <c r="I58" s="857"/>
      <c r="J58" s="858"/>
      <c r="K58" s="858"/>
      <c r="L58" s="858"/>
    </row>
    <row r="59" spans="1:12" ht="12" customHeight="1">
      <c r="A59" s="703" t="s">
        <v>906</v>
      </c>
      <c r="B59" s="504">
        <f>I24</f>
        <v>3176</v>
      </c>
      <c r="C59" s="504">
        <f>I12</f>
        <v>2515</v>
      </c>
      <c r="D59" s="504">
        <f t="shared" si="6"/>
        <v>-661</v>
      </c>
      <c r="E59" s="512">
        <f t="shared" si="9"/>
        <v>-0.20812342569269521</v>
      </c>
      <c r="F59" s="705"/>
      <c r="G59" s="705"/>
      <c r="H59" s="705"/>
      <c r="I59" s="705"/>
      <c r="J59" s="419"/>
      <c r="K59" s="419"/>
      <c r="L59" s="419"/>
    </row>
    <row r="60" spans="1:12" ht="12" customHeight="1">
      <c r="A60" s="711" t="s">
        <v>907</v>
      </c>
      <c r="B60" s="631">
        <f>L24</f>
        <v>4424</v>
      </c>
      <c r="C60" s="631">
        <f>L12</f>
        <v>3248</v>
      </c>
      <c r="D60" s="631">
        <f t="shared" si="6"/>
        <v>-1176</v>
      </c>
      <c r="E60" s="712">
        <f t="shared" si="9"/>
        <v>-0.26582278481012656</v>
      </c>
      <c r="F60" s="705" t="s">
        <v>327</v>
      </c>
      <c r="G60" s="705"/>
      <c r="H60" s="705"/>
      <c r="I60" s="705"/>
      <c r="J60" s="419"/>
      <c r="K60" s="419"/>
      <c r="L60" s="419"/>
    </row>
    <row r="61" spans="1:12" ht="12" customHeight="1">
      <c r="A61" s="711" t="s">
        <v>908</v>
      </c>
      <c r="B61" s="509">
        <f>B60*1000/B75</f>
        <v>0.13429194632013355</v>
      </c>
      <c r="C61" s="509">
        <f>C60*1000/B76</f>
        <v>0.17000043023507899</v>
      </c>
      <c r="D61" s="509">
        <f t="shared" si="6"/>
        <v>3.5708483914945438E-2</v>
      </c>
      <c r="E61" s="712">
        <f t="shared" si="9"/>
        <v>0.2659019017404165</v>
      </c>
      <c r="F61" s="705" t="s">
        <v>328</v>
      </c>
      <c r="G61" s="705"/>
      <c r="H61" s="705"/>
      <c r="I61" s="705"/>
      <c r="J61" s="419"/>
      <c r="K61" s="419"/>
      <c r="L61" s="419"/>
    </row>
    <row r="62" spans="1:12" ht="12" customHeight="1">
      <c r="C62" s="139"/>
      <c r="I62" s="419"/>
      <c r="J62" s="419"/>
      <c r="K62" s="419"/>
      <c r="L62" s="419"/>
    </row>
    <row r="63" spans="1:12" ht="12" customHeight="1">
      <c r="C63" s="139"/>
      <c r="I63" s="419"/>
      <c r="J63" s="419"/>
      <c r="K63" s="419"/>
      <c r="L63" s="419"/>
    </row>
    <row r="64" spans="1:12" ht="12" customHeight="1">
      <c r="A64" s="1522" t="s">
        <v>107</v>
      </c>
      <c r="B64" s="1392"/>
      <c r="C64" s="1393"/>
      <c r="I64" s="419"/>
      <c r="J64" s="419"/>
      <c r="K64" s="419"/>
      <c r="L64" s="419"/>
    </row>
    <row r="65" spans="1:3" ht="12" customHeight="1">
      <c r="A65" s="859" t="s">
        <v>909</v>
      </c>
      <c r="B65" s="859" t="s">
        <v>910</v>
      </c>
      <c r="C65" s="860" t="s">
        <v>458</v>
      </c>
    </row>
    <row r="66" spans="1:3" ht="12" customHeight="1">
      <c r="A66" s="49" t="s">
        <v>855</v>
      </c>
      <c r="B66" s="861">
        <v>0.33545771000000002</v>
      </c>
      <c r="C66" s="49" t="s">
        <v>195</v>
      </c>
    </row>
    <row r="67" spans="1:3" ht="12" customHeight="1">
      <c r="A67" s="49" t="s">
        <v>863</v>
      </c>
      <c r="B67" s="861">
        <v>0.12418301</v>
      </c>
      <c r="C67" s="862" t="s">
        <v>195</v>
      </c>
    </row>
    <row r="68" spans="1:3" ht="12" customHeight="1">
      <c r="A68" s="49" t="s">
        <v>857</v>
      </c>
      <c r="B68" s="861">
        <v>0.10659823</v>
      </c>
      <c r="C68" s="862" t="s">
        <v>195</v>
      </c>
    </row>
    <row r="69" spans="1:3" ht="12" customHeight="1">
      <c r="A69" s="49" t="s">
        <v>911</v>
      </c>
      <c r="B69" s="861">
        <v>7.7078425000000006E-2</v>
      </c>
      <c r="C69" s="862" t="s">
        <v>195</v>
      </c>
    </row>
    <row r="70" spans="1:3" ht="12" customHeight="1">
      <c r="A70" s="49" t="s">
        <v>861</v>
      </c>
      <c r="B70" s="861">
        <v>1.1280857E-2</v>
      </c>
      <c r="C70" s="862" t="s">
        <v>195</v>
      </c>
    </row>
    <row r="71" spans="1:3" ht="12" customHeight="1">
      <c r="C71" s="139"/>
    </row>
    <row r="72" spans="1:3" ht="12" customHeight="1">
      <c r="C72" s="139"/>
    </row>
    <row r="73" spans="1:3" ht="12" customHeight="1">
      <c r="C73" s="139"/>
    </row>
    <row r="74" spans="1:3" ht="12" customHeight="1">
      <c r="A74" s="1449" t="s">
        <v>227</v>
      </c>
      <c r="B74" s="1393"/>
      <c r="C74" s="139"/>
    </row>
    <row r="75" spans="1:3" ht="12" customHeight="1">
      <c r="A75" s="426">
        <v>2021</v>
      </c>
      <c r="B75" s="427">
        <v>32943152</v>
      </c>
      <c r="C75" s="139"/>
    </row>
    <row r="76" spans="1:3" ht="12" customHeight="1">
      <c r="A76" s="426">
        <v>2022</v>
      </c>
      <c r="B76" s="427">
        <v>19105834</v>
      </c>
      <c r="C76" s="139"/>
    </row>
  </sheetData>
  <mergeCells count="42">
    <mergeCell ref="G43:L43"/>
    <mergeCell ref="G44:L44"/>
    <mergeCell ref="G45:L45"/>
    <mergeCell ref="G46:L46"/>
    <mergeCell ref="G47:L47"/>
    <mergeCell ref="A36:A40"/>
    <mergeCell ref="A41:A47"/>
    <mergeCell ref="A64:C64"/>
    <mergeCell ref="A74:B74"/>
    <mergeCell ref="A34:L34"/>
    <mergeCell ref="G35:L35"/>
    <mergeCell ref="G36:L36"/>
    <mergeCell ref="G37:L37"/>
    <mergeCell ref="G38:L38"/>
    <mergeCell ref="G39:L39"/>
    <mergeCell ref="G40:L40"/>
    <mergeCell ref="G48:L48"/>
    <mergeCell ref="G49:L49"/>
    <mergeCell ref="A53:I53"/>
    <mergeCell ref="G41:L41"/>
    <mergeCell ref="G42:L42"/>
    <mergeCell ref="C6:L6"/>
    <mergeCell ref="C7:L7"/>
    <mergeCell ref="G12:G18"/>
    <mergeCell ref="G24:G28"/>
    <mergeCell ref="H24:H28"/>
    <mergeCell ref="I24:I28"/>
    <mergeCell ref="J24:J28"/>
    <mergeCell ref="K24:K28"/>
    <mergeCell ref="L24:L28"/>
    <mergeCell ref="A10:L10"/>
    <mergeCell ref="H12:H18"/>
    <mergeCell ref="I12:I18"/>
    <mergeCell ref="J12:J18"/>
    <mergeCell ref="K12:K18"/>
    <mergeCell ref="L12:L18"/>
    <mergeCell ref="A22:L22"/>
    <mergeCell ref="A1:L1"/>
    <mergeCell ref="C2:L2"/>
    <mergeCell ref="C3:L3"/>
    <mergeCell ref="C4:L4"/>
    <mergeCell ref="C5:L5"/>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FF"/>
  </sheetPr>
  <dimension ref="A1:AH241"/>
  <sheetViews>
    <sheetView showGridLines="0" workbookViewId="0"/>
  </sheetViews>
  <sheetFormatPr baseColWidth="10" defaultColWidth="12.6640625" defaultRowHeight="15" customHeight="1"/>
  <cols>
    <col min="1" max="2" width="6.6640625" customWidth="1"/>
    <col min="3" max="3" width="21.33203125" customWidth="1"/>
    <col min="4" max="4" width="37.109375" customWidth="1"/>
    <col min="5" max="5" width="20.6640625" customWidth="1"/>
    <col min="6" max="6" width="11.33203125" customWidth="1"/>
    <col min="7" max="7" width="14.88671875" customWidth="1"/>
    <col min="8" max="8" width="7.6640625" customWidth="1"/>
    <col min="9" max="9" width="9.109375" customWidth="1"/>
    <col min="10" max="10" width="15.88671875" customWidth="1"/>
    <col min="11" max="11" width="8" customWidth="1"/>
    <col min="12" max="12" width="17" customWidth="1"/>
    <col min="13" max="13" width="15.88671875" customWidth="1"/>
    <col min="14" max="14" width="25" customWidth="1"/>
    <col min="15" max="15" width="30.44140625" customWidth="1"/>
    <col min="16" max="16" width="12.88671875" customWidth="1"/>
    <col min="17" max="17" width="12.21875" customWidth="1"/>
    <col min="18" max="18" width="12.77734375" customWidth="1"/>
    <col min="19" max="19" width="13.21875" customWidth="1"/>
    <col min="20" max="20" width="19.21875" customWidth="1"/>
    <col min="21" max="21" width="13.33203125" customWidth="1"/>
    <col min="22" max="22" width="23" customWidth="1"/>
    <col min="23" max="23" width="12.21875" customWidth="1"/>
    <col min="24" max="24" width="8.6640625" customWidth="1"/>
    <col min="25" max="25" width="12.77734375" customWidth="1"/>
    <col min="26" max="26" width="13.33203125" customWidth="1"/>
    <col min="27" max="27" width="12.77734375" customWidth="1"/>
    <col min="28" max="36" width="8.6640625" customWidth="1"/>
  </cols>
  <sheetData>
    <row r="1" spans="1:28" ht="14.25" customHeight="1">
      <c r="A1" s="589" t="s">
        <v>912</v>
      </c>
      <c r="B1" s="429"/>
      <c r="C1" s="429"/>
      <c r="D1" s="429"/>
      <c r="E1" s="429"/>
      <c r="F1" s="429"/>
      <c r="G1" s="429"/>
      <c r="H1" s="429"/>
      <c r="I1" s="589"/>
      <c r="J1" s="589"/>
      <c r="K1" s="429"/>
      <c r="L1" s="429"/>
      <c r="M1" s="863"/>
      <c r="N1" s="429"/>
      <c r="O1" s="429"/>
      <c r="P1" s="429"/>
      <c r="Q1" s="429"/>
      <c r="R1" s="429"/>
      <c r="S1" s="429"/>
      <c r="T1" s="429"/>
      <c r="U1" s="429"/>
      <c r="V1" s="429"/>
      <c r="W1" s="429"/>
      <c r="X1" s="429"/>
      <c r="Y1" s="429"/>
      <c r="Z1" s="429"/>
      <c r="AA1" s="429"/>
      <c r="AB1" s="429"/>
    </row>
    <row r="2" spans="1:28" ht="14.25" customHeight="1">
      <c r="A2" s="591"/>
      <c r="B2" s="431"/>
      <c r="C2" s="431"/>
      <c r="D2" s="431"/>
      <c r="E2" s="431"/>
      <c r="F2" s="431"/>
      <c r="G2" s="431"/>
      <c r="H2" s="431"/>
      <c r="I2" s="591"/>
      <c r="J2" s="591"/>
      <c r="K2" s="431"/>
      <c r="L2" s="431"/>
      <c r="M2" s="431"/>
      <c r="N2" s="431"/>
      <c r="O2" s="431"/>
      <c r="P2" s="431"/>
      <c r="Q2" s="431"/>
      <c r="R2" s="431"/>
      <c r="S2" s="431"/>
      <c r="T2" s="431"/>
      <c r="U2" s="431"/>
      <c r="V2" s="431"/>
      <c r="W2" s="431"/>
      <c r="X2" s="431"/>
      <c r="Y2" s="431"/>
      <c r="Z2" s="431"/>
      <c r="AA2" s="431"/>
      <c r="AB2" s="431"/>
    </row>
    <row r="3" spans="1:28" ht="18" customHeight="1">
      <c r="A3" s="864"/>
      <c r="B3" s="1450" t="s">
        <v>913</v>
      </c>
      <c r="C3" s="1451"/>
      <c r="D3" s="1451"/>
      <c r="E3" s="1451"/>
      <c r="F3" s="1451"/>
      <c r="G3" s="1451"/>
      <c r="H3" s="1451"/>
      <c r="I3" s="1452"/>
      <c r="J3" s="865"/>
      <c r="K3" s="865"/>
      <c r="L3" s="865"/>
      <c r="M3" s="444"/>
      <c r="N3" s="1449" t="s">
        <v>227</v>
      </c>
      <c r="O3" s="1393"/>
      <c r="P3" s="431"/>
      <c r="Q3" s="431"/>
      <c r="R3" s="431"/>
      <c r="S3" s="431"/>
      <c r="T3" s="431"/>
      <c r="U3" s="431"/>
      <c r="V3" s="431"/>
      <c r="W3" s="431"/>
      <c r="X3" s="431"/>
      <c r="Y3" s="431"/>
      <c r="Z3" s="431"/>
      <c r="AA3" s="431"/>
      <c r="AB3" s="431"/>
    </row>
    <row r="4" spans="1:28" ht="18" customHeight="1">
      <c r="A4" s="419"/>
      <c r="B4" s="1453"/>
      <c r="C4" s="1454"/>
      <c r="D4" s="1454"/>
      <c r="E4" s="1454"/>
      <c r="F4" s="1454"/>
      <c r="G4" s="1454"/>
      <c r="H4" s="1454"/>
      <c r="I4" s="1455"/>
      <c r="J4" s="865"/>
      <c r="K4" s="865"/>
      <c r="L4" s="866"/>
      <c r="M4" s="654"/>
      <c r="N4" s="426">
        <v>2021</v>
      </c>
      <c r="O4" s="427">
        <v>32943152</v>
      </c>
      <c r="P4" s="431"/>
      <c r="Q4" s="431"/>
      <c r="R4" s="431"/>
      <c r="S4" s="431"/>
      <c r="T4" s="431"/>
      <c r="U4" s="431"/>
      <c r="V4" s="431"/>
      <c r="W4" s="431"/>
      <c r="X4" s="431"/>
      <c r="Y4" s="431"/>
      <c r="Z4" s="431"/>
      <c r="AA4" s="431"/>
      <c r="AB4" s="431"/>
    </row>
    <row r="5" spans="1:28" ht="18" customHeight="1">
      <c r="A5" s="594"/>
      <c r="B5" s="435"/>
      <c r="C5" s="435"/>
      <c r="D5" s="435"/>
      <c r="E5" s="435"/>
      <c r="F5" s="435"/>
      <c r="G5" s="435"/>
      <c r="H5" s="435"/>
      <c r="I5" s="435"/>
      <c r="J5" s="435"/>
      <c r="K5" s="431"/>
      <c r="L5" s="431"/>
      <c r="M5" s="450"/>
      <c r="N5" s="426">
        <v>2022</v>
      </c>
      <c r="O5" s="427">
        <v>19105834</v>
      </c>
      <c r="P5" s="431"/>
      <c r="Q5" s="431"/>
      <c r="R5" s="431"/>
      <c r="S5" s="431"/>
      <c r="T5" s="431"/>
      <c r="U5" s="431"/>
      <c r="V5" s="431"/>
      <c r="W5" s="431"/>
      <c r="X5" s="431"/>
      <c r="Y5" s="431"/>
      <c r="Z5" s="431"/>
      <c r="AA5" s="431"/>
      <c r="AB5" s="431"/>
    </row>
    <row r="6" spans="1:28" ht="18" customHeight="1">
      <c r="A6" s="657"/>
      <c r="B6" s="438" t="s">
        <v>426</v>
      </c>
      <c r="C6" s="535" t="s">
        <v>914</v>
      </c>
      <c r="D6" s="440"/>
      <c r="E6" s="440"/>
      <c r="F6" s="440"/>
      <c r="G6" s="440"/>
      <c r="H6" s="440"/>
      <c r="I6" s="440"/>
      <c r="J6" s="440"/>
      <c r="K6" s="536"/>
      <c r="L6" s="536"/>
      <c r="M6" s="431"/>
      <c r="N6" s="431"/>
      <c r="O6" s="431"/>
      <c r="P6" s="431"/>
      <c r="Q6" s="867"/>
      <c r="R6" s="431"/>
      <c r="S6" s="431"/>
      <c r="T6" s="431"/>
      <c r="U6" s="431"/>
      <c r="V6" s="431"/>
      <c r="W6" s="431"/>
      <c r="X6" s="431"/>
      <c r="Y6" s="431"/>
      <c r="Z6" s="431"/>
      <c r="AA6" s="431"/>
      <c r="AB6" s="431"/>
    </row>
    <row r="7" spans="1:28" ht="21.75" customHeight="1">
      <c r="A7" s="657"/>
      <c r="B7" s="438" t="s">
        <v>583</v>
      </c>
      <c r="C7" s="535" t="s">
        <v>915</v>
      </c>
      <c r="D7" s="440"/>
      <c r="E7" s="440"/>
      <c r="F7" s="440"/>
      <c r="G7" s="440"/>
      <c r="H7" s="440"/>
      <c r="I7" s="440"/>
      <c r="J7" s="440"/>
      <c r="K7" s="440"/>
      <c r="L7" s="440"/>
      <c r="M7" s="435"/>
      <c r="N7" s="663"/>
      <c r="O7" s="663"/>
      <c r="P7" s="444"/>
      <c r="Q7" s="444"/>
      <c r="R7" s="444"/>
      <c r="S7" s="444"/>
      <c r="T7" s="431"/>
      <c r="U7" s="431"/>
      <c r="V7" s="444"/>
      <c r="W7" s="444"/>
      <c r="X7" s="444"/>
      <c r="Y7" s="444"/>
      <c r="Z7" s="444"/>
      <c r="AA7" s="444"/>
      <c r="AB7" s="431"/>
    </row>
    <row r="8" spans="1:28" ht="17.25" customHeight="1">
      <c r="A8" s="868"/>
      <c r="B8" s="869"/>
      <c r="C8" s="870"/>
      <c r="D8" s="435"/>
      <c r="E8" s="435"/>
      <c r="F8" s="435"/>
      <c r="G8" s="435"/>
      <c r="H8" s="435"/>
      <c r="I8" s="871">
        <f>+SUM(I11:I241)</f>
        <v>4917011.0476593021</v>
      </c>
      <c r="J8" s="663"/>
      <c r="K8" s="872">
        <f>+SUM(K11:K241)</f>
        <v>1073.2021730263689</v>
      </c>
      <c r="L8" s="872">
        <f>SUM(L11:L241)</f>
        <v>270.5741149054632</v>
      </c>
      <c r="M8" s="873"/>
      <c r="N8" s="1538">
        <v>2021</v>
      </c>
      <c r="O8" s="1434"/>
      <c r="P8" s="1434"/>
      <c r="Q8" s="1434"/>
      <c r="R8" s="1434"/>
      <c r="S8" s="1435"/>
      <c r="T8" s="434"/>
      <c r="U8" s="1538">
        <v>2022</v>
      </c>
      <c r="V8" s="1434"/>
      <c r="W8" s="1434"/>
      <c r="X8" s="1434"/>
      <c r="Y8" s="1434"/>
      <c r="Z8" s="1435"/>
    </row>
    <row r="9" spans="1:28" ht="14.25" customHeight="1">
      <c r="A9" s="874"/>
      <c r="B9" s="1539">
        <v>2022</v>
      </c>
      <c r="C9" s="1474"/>
      <c r="D9" s="1474"/>
      <c r="E9" s="1474"/>
      <c r="F9" s="1474"/>
      <c r="G9" s="1474"/>
      <c r="H9" s="1474"/>
      <c r="I9" s="875"/>
      <c r="K9" s="449" t="s">
        <v>423</v>
      </c>
      <c r="L9" s="449" t="s">
        <v>424</v>
      </c>
      <c r="M9" s="873"/>
      <c r="N9" s="1540" t="s">
        <v>468</v>
      </c>
      <c r="O9" s="1537" t="s">
        <v>916</v>
      </c>
      <c r="P9" s="1541" t="s">
        <v>446</v>
      </c>
      <c r="Q9" s="876" t="s">
        <v>423</v>
      </c>
      <c r="R9" s="876" t="s">
        <v>424</v>
      </c>
      <c r="S9" s="1537" t="s">
        <v>917</v>
      </c>
      <c r="U9" s="1526" t="s">
        <v>468</v>
      </c>
      <c r="V9" s="1526" t="s">
        <v>916</v>
      </c>
      <c r="W9" s="1526" t="s">
        <v>446</v>
      </c>
      <c r="X9" s="877" t="s">
        <v>423</v>
      </c>
      <c r="Y9" s="877" t="s">
        <v>424</v>
      </c>
      <c r="Z9" s="1537" t="s">
        <v>917</v>
      </c>
      <c r="AB9" s="457" t="s">
        <v>918</v>
      </c>
    </row>
    <row r="10" spans="1:28" ht="14.25" customHeight="1">
      <c r="A10" s="878" t="s">
        <v>916</v>
      </c>
      <c r="B10" s="878" t="s">
        <v>919</v>
      </c>
      <c r="C10" s="879" t="s">
        <v>920</v>
      </c>
      <c r="D10" s="879" t="s">
        <v>921</v>
      </c>
      <c r="E10" s="879" t="s">
        <v>922</v>
      </c>
      <c r="F10" s="879" t="s">
        <v>923</v>
      </c>
      <c r="G10" s="879" t="s">
        <v>924</v>
      </c>
      <c r="H10" s="879" t="s">
        <v>925</v>
      </c>
      <c r="I10" s="879" t="s">
        <v>114</v>
      </c>
      <c r="J10" s="880" t="s">
        <v>926</v>
      </c>
      <c r="K10" s="453" t="s">
        <v>437</v>
      </c>
      <c r="L10" s="453" t="s">
        <v>437</v>
      </c>
      <c r="M10" s="881"/>
      <c r="N10" s="1390"/>
      <c r="O10" s="1390"/>
      <c r="P10" s="1390"/>
      <c r="Q10" s="882" t="s">
        <v>437</v>
      </c>
      <c r="R10" s="882" t="s">
        <v>437</v>
      </c>
      <c r="S10" s="1390"/>
      <c r="U10" s="1390"/>
      <c r="V10" s="1390"/>
      <c r="W10" s="1390"/>
      <c r="X10" s="877" t="s">
        <v>437</v>
      </c>
      <c r="Y10" s="877" t="s">
        <v>437</v>
      </c>
      <c r="Z10" s="1390"/>
      <c r="AB10" s="457" t="s">
        <v>927</v>
      </c>
    </row>
    <row r="11" spans="1:28" ht="14.25" customHeight="1">
      <c r="A11" s="883">
        <v>1</v>
      </c>
      <c r="B11" s="884" t="s">
        <v>928</v>
      </c>
      <c r="C11" s="885" t="s">
        <v>929</v>
      </c>
      <c r="D11" s="886" t="s">
        <v>930</v>
      </c>
      <c r="E11" s="886" t="s">
        <v>931</v>
      </c>
      <c r="F11" s="886" t="s">
        <v>932</v>
      </c>
      <c r="G11" s="886" t="s">
        <v>933</v>
      </c>
      <c r="H11" s="887" t="s">
        <v>934</v>
      </c>
      <c r="I11" s="888">
        <v>925454</v>
      </c>
      <c r="J11" s="889" t="s">
        <v>935</v>
      </c>
      <c r="K11" s="890">
        <v>0</v>
      </c>
      <c r="L11" s="891">
        <f t="shared" ref="L11:L241" si="0">(I11*0.055028169)/1000</f>
        <v>50.926039113725999</v>
      </c>
      <c r="M11" s="431"/>
      <c r="N11" s="892" t="s">
        <v>928</v>
      </c>
      <c r="O11" s="893">
        <v>30</v>
      </c>
      <c r="P11" s="894">
        <v>3325689</v>
      </c>
      <c r="Q11" s="894">
        <v>728</v>
      </c>
      <c r="R11" s="894">
        <v>183</v>
      </c>
      <c r="S11" s="895">
        <f t="shared" ref="S11:S17" si="1">R11+Q11</f>
        <v>911</v>
      </c>
      <c r="U11" s="896" t="s">
        <v>928</v>
      </c>
      <c r="V11" s="896">
        <v>28</v>
      </c>
      <c r="W11" s="897">
        <f t="shared" ref="W11:W15" si="2">+SUMIF($B$11:$B$241,$U11,I$11:I$241)</f>
        <v>3106938.8795458195</v>
      </c>
      <c r="X11" s="897">
        <f t="shared" ref="X11:Y11" si="3">+SUMIF($B$11:$B$241,$U11,K$11:K$241)</f>
        <v>514.92588156647321</v>
      </c>
      <c r="Y11" s="897">
        <f t="shared" si="3"/>
        <v>170.96915773631801</v>
      </c>
      <c r="Z11" s="898">
        <f t="shared" ref="Z11:Z16" si="4">Y11+X11</f>
        <v>685.89503930279125</v>
      </c>
      <c r="AB11" s="899">
        <f t="shared" ref="AB11:AB16" si="5">-(P11-W11)/W11</f>
        <v>-7.0406959690870394E-2</v>
      </c>
    </row>
    <row r="12" spans="1:28" ht="14.25" customHeight="1">
      <c r="A12" s="883">
        <v>2</v>
      </c>
      <c r="B12" s="884" t="s">
        <v>928</v>
      </c>
      <c r="C12" s="885" t="s">
        <v>936</v>
      </c>
      <c r="D12" s="886" t="s">
        <v>930</v>
      </c>
      <c r="E12" s="886" t="s">
        <v>931</v>
      </c>
      <c r="F12" s="886" t="s">
        <v>932</v>
      </c>
      <c r="G12" s="886" t="s">
        <v>933</v>
      </c>
      <c r="H12" s="887" t="s">
        <v>934</v>
      </c>
      <c r="I12" s="888">
        <v>499817</v>
      </c>
      <c r="J12" s="889" t="s">
        <v>935</v>
      </c>
      <c r="K12" s="890">
        <v>0</v>
      </c>
      <c r="L12" s="900">
        <f t="shared" si="0"/>
        <v>27.504014345072999</v>
      </c>
      <c r="M12" s="431"/>
      <c r="N12" s="892" t="s">
        <v>937</v>
      </c>
      <c r="O12" s="457">
        <v>8</v>
      </c>
      <c r="P12" s="894">
        <v>383214</v>
      </c>
      <c r="Q12" s="894">
        <v>150</v>
      </c>
      <c r="R12" s="894">
        <v>21</v>
      </c>
      <c r="S12" s="901">
        <f t="shared" si="1"/>
        <v>171</v>
      </c>
      <c r="U12" s="896" t="s">
        <v>937</v>
      </c>
      <c r="V12" s="896">
        <v>8</v>
      </c>
      <c r="W12" s="897">
        <f t="shared" si="2"/>
        <v>191819.71781332401</v>
      </c>
      <c r="X12" s="897">
        <f t="shared" ref="X12:Y12" si="6">+SUMIF($B$11:$B$241,$U12,K$11:K$241)</f>
        <v>57.661007174685182</v>
      </c>
      <c r="Y12" s="897">
        <f t="shared" si="6"/>
        <v>10.555487849363903</v>
      </c>
      <c r="Z12" s="898">
        <f t="shared" si="4"/>
        <v>68.216495024049081</v>
      </c>
      <c r="AB12" s="899">
        <f t="shared" si="5"/>
        <v>-0.99778210691008296</v>
      </c>
    </row>
    <row r="13" spans="1:28" ht="14.25" customHeight="1">
      <c r="A13" s="883">
        <v>3</v>
      </c>
      <c r="B13" s="884" t="s">
        <v>928</v>
      </c>
      <c r="C13" s="885" t="s">
        <v>938</v>
      </c>
      <c r="D13" s="886" t="s">
        <v>930</v>
      </c>
      <c r="E13" s="886" t="s">
        <v>939</v>
      </c>
      <c r="F13" s="886" t="s">
        <v>932</v>
      </c>
      <c r="G13" s="886" t="s">
        <v>940</v>
      </c>
      <c r="H13" s="887" t="s">
        <v>934</v>
      </c>
      <c r="I13" s="888">
        <v>344419.77600000001</v>
      </c>
      <c r="J13" s="889" t="s">
        <v>935</v>
      </c>
      <c r="K13" s="890">
        <f>+I13*VLOOKUP(J13,'Factores Emisión EDGE'!$K$228:$L$230,2,FALSE)/1000</f>
        <v>103.5325846656</v>
      </c>
      <c r="L13" s="900">
        <f t="shared" si="0"/>
        <v>18.952789640670144</v>
      </c>
      <c r="M13" s="431"/>
      <c r="N13" s="892" t="s">
        <v>941</v>
      </c>
      <c r="O13" s="457">
        <v>18</v>
      </c>
      <c r="P13" s="894">
        <v>260449</v>
      </c>
      <c r="Q13" s="894">
        <v>102</v>
      </c>
      <c r="R13" s="894">
        <v>14</v>
      </c>
      <c r="S13" s="901">
        <f t="shared" si="1"/>
        <v>116</v>
      </c>
      <c r="U13" s="896" t="s">
        <v>941</v>
      </c>
      <c r="V13" s="896">
        <v>12</v>
      </c>
      <c r="W13" s="897">
        <f t="shared" si="2"/>
        <v>139020.63887474337</v>
      </c>
      <c r="X13" s="897">
        <f t="shared" ref="X13:Y13" si="7">+SUMIF($B$11:$B$241,$U13,K$11:K$241)</f>
        <v>41.789604045747858</v>
      </c>
      <c r="Y13" s="897">
        <f t="shared" si="7"/>
        <v>7.6500512104873488</v>
      </c>
      <c r="Z13" s="898">
        <f t="shared" si="4"/>
        <v>49.439655256235206</v>
      </c>
      <c r="AB13" s="899">
        <f t="shared" si="5"/>
        <v>-0.87345564017054145</v>
      </c>
    </row>
    <row r="14" spans="1:28" ht="14.25" customHeight="1">
      <c r="A14" s="883">
        <v>4</v>
      </c>
      <c r="B14" s="884" t="s">
        <v>928</v>
      </c>
      <c r="C14" s="885" t="s">
        <v>942</v>
      </c>
      <c r="D14" s="886" t="s">
        <v>930</v>
      </c>
      <c r="E14" s="886" t="s">
        <v>931</v>
      </c>
      <c r="F14" s="886" t="s">
        <v>943</v>
      </c>
      <c r="G14" s="886" t="s">
        <v>940</v>
      </c>
      <c r="H14" s="887" t="s">
        <v>934</v>
      </c>
      <c r="I14" s="888">
        <v>185453.19999999998</v>
      </c>
      <c r="J14" s="889" t="s">
        <v>935</v>
      </c>
      <c r="K14" s="890">
        <f>+I14*VLOOKUP(J14,'Factores Emisión EDGE'!$K$228:$L$230,2,FALSE)/1000</f>
        <v>55.74723191999999</v>
      </c>
      <c r="L14" s="900">
        <f t="shared" si="0"/>
        <v>10.205150031190799</v>
      </c>
      <c r="M14" s="431"/>
      <c r="N14" s="892" t="s">
        <v>944</v>
      </c>
      <c r="O14" s="457">
        <v>66</v>
      </c>
      <c r="P14" s="894">
        <v>609935</v>
      </c>
      <c r="Q14" s="894">
        <v>240</v>
      </c>
      <c r="R14" s="894">
        <v>34</v>
      </c>
      <c r="S14" s="901">
        <f t="shared" si="1"/>
        <v>274</v>
      </c>
      <c r="U14" s="896" t="s">
        <v>944</v>
      </c>
      <c r="V14" s="896">
        <v>54</v>
      </c>
      <c r="W14" s="897">
        <f t="shared" si="2"/>
        <v>551716.60733298166</v>
      </c>
      <c r="X14" s="897">
        <f t="shared" ref="X14:Y14" si="8">+SUMIF($B$11:$B$241,$U14,K$11:K$241)</f>
        <v>172.87808639460977</v>
      </c>
      <c r="Y14" s="897">
        <f t="shared" si="8"/>
        <v>30.35995470842597</v>
      </c>
      <c r="Z14" s="898">
        <f t="shared" si="4"/>
        <v>203.23804110303573</v>
      </c>
      <c r="AB14" s="899">
        <f t="shared" si="5"/>
        <v>-0.10552227700458065</v>
      </c>
    </row>
    <row r="15" spans="1:28" ht="14.25" customHeight="1">
      <c r="A15" s="883">
        <v>5</v>
      </c>
      <c r="B15" s="884" t="s">
        <v>928</v>
      </c>
      <c r="C15" s="885" t="s">
        <v>945</v>
      </c>
      <c r="D15" s="886" t="s">
        <v>946</v>
      </c>
      <c r="E15" s="886" t="s">
        <v>946</v>
      </c>
      <c r="F15" s="886" t="s">
        <v>947</v>
      </c>
      <c r="G15" s="886" t="s">
        <v>940</v>
      </c>
      <c r="H15" s="887" t="s">
        <v>934</v>
      </c>
      <c r="I15" s="888">
        <v>137710.23000000001</v>
      </c>
      <c r="J15" s="889" t="s">
        <v>935</v>
      </c>
      <c r="K15" s="890">
        <f>+I15*VLOOKUP(J15,'Factores Emisión EDGE'!$K$228:$L$230,2,FALSE)/1000</f>
        <v>41.395695138000001</v>
      </c>
      <c r="L15" s="900">
        <f t="shared" si="0"/>
        <v>7.5779418094688706</v>
      </c>
      <c r="M15" s="431"/>
      <c r="N15" s="892" t="s">
        <v>948</v>
      </c>
      <c r="O15" s="902">
        <v>124</v>
      </c>
      <c r="P15" s="894">
        <v>918162</v>
      </c>
      <c r="Q15" s="894">
        <v>372</v>
      </c>
      <c r="R15" s="894">
        <v>50</v>
      </c>
      <c r="S15" s="901">
        <f t="shared" si="1"/>
        <v>422</v>
      </c>
      <c r="U15" s="896" t="s">
        <v>948</v>
      </c>
      <c r="V15" s="896">
        <v>129</v>
      </c>
      <c r="W15" s="897">
        <f t="shared" si="2"/>
        <v>927515.20409243414</v>
      </c>
      <c r="X15" s="897">
        <f t="shared" ref="X15:Y15" si="9">+SUMIF($B$11:$B$241,$U15,K$11:K$241)</f>
        <v>285.94759384485218</v>
      </c>
      <c r="Y15" s="897">
        <f t="shared" si="9"/>
        <v>51.039463400867959</v>
      </c>
      <c r="Z15" s="898">
        <f t="shared" si="4"/>
        <v>336.98705724572017</v>
      </c>
      <c r="AB15" s="899">
        <f t="shared" si="5"/>
        <v>1.0084151775804229E-2</v>
      </c>
    </row>
    <row r="16" spans="1:28" ht="14.25" customHeight="1">
      <c r="A16" s="883">
        <v>6</v>
      </c>
      <c r="B16" s="884" t="s">
        <v>928</v>
      </c>
      <c r="C16" s="885" t="s">
        <v>949</v>
      </c>
      <c r="D16" s="886" t="s">
        <v>950</v>
      </c>
      <c r="E16" s="886" t="s">
        <v>951</v>
      </c>
      <c r="F16" s="886" t="s">
        <v>952</v>
      </c>
      <c r="G16" s="886" t="s">
        <v>940</v>
      </c>
      <c r="H16" s="887" t="s">
        <v>934</v>
      </c>
      <c r="I16" s="888">
        <v>137400</v>
      </c>
      <c r="J16" s="889" t="s">
        <v>935</v>
      </c>
      <c r="K16" s="890">
        <f>+I16*VLOOKUP(J16,'Factores Emisión EDGE'!$K$228:$L$230,2,FALSE)/1000</f>
        <v>41.302439999999997</v>
      </c>
      <c r="L16" s="900">
        <f t="shared" si="0"/>
        <v>7.5608704206000006</v>
      </c>
      <c r="M16" s="431"/>
      <c r="N16" s="903" t="s">
        <v>87</v>
      </c>
      <c r="O16" s="904">
        <f t="shared" ref="O16:R16" si="10">SUM(O11:O15)</f>
        <v>246</v>
      </c>
      <c r="P16" s="905">
        <f t="shared" si="10"/>
        <v>5497449</v>
      </c>
      <c r="Q16" s="905">
        <f t="shared" si="10"/>
        <v>1592</v>
      </c>
      <c r="R16" s="905">
        <f t="shared" si="10"/>
        <v>302</v>
      </c>
      <c r="S16" s="906">
        <f t="shared" si="1"/>
        <v>1894</v>
      </c>
      <c r="U16" s="907" t="s">
        <v>87</v>
      </c>
      <c r="V16" s="907">
        <f t="shared" ref="V16:Y16" si="11">SUM(V11:V15)</f>
        <v>231</v>
      </c>
      <c r="W16" s="908">
        <f t="shared" si="11"/>
        <v>4917011.0476593031</v>
      </c>
      <c r="X16" s="908">
        <f t="shared" si="11"/>
        <v>1073.2021730263682</v>
      </c>
      <c r="Y16" s="908">
        <f t="shared" si="11"/>
        <v>270.5741149054632</v>
      </c>
      <c r="Z16" s="909">
        <f t="shared" si="4"/>
        <v>1343.7762879318313</v>
      </c>
      <c r="AB16" s="899">
        <f t="shared" si="5"/>
        <v>-0.11804690831781006</v>
      </c>
    </row>
    <row r="17" spans="1:28" ht="14.25" customHeight="1">
      <c r="A17" s="883">
        <v>7</v>
      </c>
      <c r="B17" s="884" t="s">
        <v>928</v>
      </c>
      <c r="C17" s="885" t="s">
        <v>953</v>
      </c>
      <c r="D17" s="886" t="s">
        <v>954</v>
      </c>
      <c r="E17" s="886" t="s">
        <v>955</v>
      </c>
      <c r="F17" s="886" t="s">
        <v>956</v>
      </c>
      <c r="G17" s="886" t="s">
        <v>940</v>
      </c>
      <c r="H17" s="887" t="s">
        <v>934</v>
      </c>
      <c r="I17" s="888">
        <v>127740</v>
      </c>
      <c r="J17" s="889" t="s">
        <v>935</v>
      </c>
      <c r="K17" s="890">
        <f>+I17*VLOOKUP(J17,'Factores Emisión EDGE'!$K$228:$L$230,2,FALSE)/1000</f>
        <v>38.398643999999997</v>
      </c>
      <c r="L17" s="900">
        <f t="shared" si="0"/>
        <v>7.0292983080600004</v>
      </c>
      <c r="M17" s="431"/>
      <c r="N17" s="903" t="s">
        <v>957</v>
      </c>
      <c r="O17" s="910">
        <v>2</v>
      </c>
      <c r="P17" s="905">
        <v>1540795</v>
      </c>
      <c r="Q17" s="905">
        <v>603</v>
      </c>
      <c r="R17" s="905">
        <v>0</v>
      </c>
      <c r="S17" s="906">
        <f t="shared" si="1"/>
        <v>603</v>
      </c>
      <c r="T17" s="911"/>
      <c r="U17" s="907" t="s">
        <v>957</v>
      </c>
      <c r="V17" s="907">
        <v>2</v>
      </c>
      <c r="W17" s="908">
        <f>I11+I12</f>
        <v>1425271</v>
      </c>
      <c r="X17" s="908">
        <v>425</v>
      </c>
      <c r="Y17" s="908">
        <v>0</v>
      </c>
      <c r="Z17" s="909">
        <f>X17</f>
        <v>425</v>
      </c>
    </row>
    <row r="18" spans="1:28" ht="14.25" customHeight="1">
      <c r="A18" s="883">
        <v>8</v>
      </c>
      <c r="B18" s="884" t="s">
        <v>928</v>
      </c>
      <c r="C18" s="885" t="s">
        <v>958</v>
      </c>
      <c r="D18" s="886" t="s">
        <v>959</v>
      </c>
      <c r="E18" s="886" t="s">
        <v>960</v>
      </c>
      <c r="F18" s="886" t="s">
        <v>961</v>
      </c>
      <c r="G18" s="886" t="s">
        <v>940</v>
      </c>
      <c r="H18" s="887" t="s">
        <v>934</v>
      </c>
      <c r="I18" s="888">
        <v>115860</v>
      </c>
      <c r="J18" s="889" t="s">
        <v>935</v>
      </c>
      <c r="K18" s="890">
        <f>+I18*VLOOKUP(J18,'Factores Emisión EDGE'!$K$228:$L$230,2,FALSE)/1000</f>
        <v>34.827515999999996</v>
      </c>
      <c r="L18" s="900">
        <f t="shared" si="0"/>
        <v>6.3755636603400001</v>
      </c>
      <c r="M18" s="431"/>
      <c r="N18" s="912" t="s">
        <v>396</v>
      </c>
      <c r="O18" s="912"/>
      <c r="P18" s="913">
        <f>P17/P16</f>
        <v>0.28027454188297152</v>
      </c>
      <c r="Q18" s="911"/>
      <c r="R18" s="911"/>
      <c r="S18" s="431"/>
      <c r="T18" s="445"/>
      <c r="U18" s="907" t="s">
        <v>396</v>
      </c>
      <c r="V18" s="907"/>
      <c r="W18" s="914">
        <f>W17/W16</f>
        <v>0.28986532391024156</v>
      </c>
      <c r="X18" s="643"/>
    </row>
    <row r="19" spans="1:28" ht="14.25" customHeight="1">
      <c r="A19" s="883">
        <v>9</v>
      </c>
      <c r="B19" s="884" t="s">
        <v>928</v>
      </c>
      <c r="C19" s="885" t="s">
        <v>962</v>
      </c>
      <c r="D19" s="886" t="s">
        <v>950</v>
      </c>
      <c r="E19" s="886" t="s">
        <v>963</v>
      </c>
      <c r="F19" s="886" t="s">
        <v>952</v>
      </c>
      <c r="G19" s="886" t="s">
        <v>940</v>
      </c>
      <c r="H19" s="887" t="s">
        <v>934</v>
      </c>
      <c r="I19" s="888">
        <v>108528</v>
      </c>
      <c r="J19" s="889" t="s">
        <v>935</v>
      </c>
      <c r="K19" s="890">
        <f>+I19*VLOOKUP(J19,'Factores Emisión EDGE'!$K$228:$L$230,2,FALSE)/1000</f>
        <v>32.623516799999997</v>
      </c>
      <c r="L19" s="900">
        <f t="shared" si="0"/>
        <v>5.9720971252320005</v>
      </c>
      <c r="M19" s="431"/>
      <c r="T19" s="431"/>
      <c r="U19" s="450"/>
      <c r="V19" s="450"/>
      <c r="W19" s="450"/>
      <c r="X19" s="911"/>
      <c r="Y19" s="431"/>
      <c r="Z19" s="431"/>
      <c r="AA19" s="431"/>
      <c r="AB19" s="431"/>
    </row>
    <row r="20" spans="1:28" ht="14.25" customHeight="1">
      <c r="A20" s="883">
        <v>10</v>
      </c>
      <c r="B20" s="884" t="s">
        <v>928</v>
      </c>
      <c r="C20" s="885" t="s">
        <v>964</v>
      </c>
      <c r="D20" s="886" t="s">
        <v>965</v>
      </c>
      <c r="E20" s="886" t="s">
        <v>965</v>
      </c>
      <c r="F20" s="886" t="s">
        <v>961</v>
      </c>
      <c r="G20" s="886" t="s">
        <v>940</v>
      </c>
      <c r="H20" s="887" t="s">
        <v>934</v>
      </c>
      <c r="I20" s="888">
        <v>76197.100000000006</v>
      </c>
      <c r="J20" s="889" t="s">
        <v>935</v>
      </c>
      <c r="K20" s="890">
        <f>+I20*VLOOKUP(J20,'Factores Emisión EDGE'!$K$228:$L$230,2,FALSE)/1000</f>
        <v>22.904848259999998</v>
      </c>
      <c r="L20" s="900">
        <f t="shared" si="0"/>
        <v>4.1929868961099004</v>
      </c>
      <c r="M20" s="431"/>
      <c r="N20" s="1531" t="s">
        <v>966</v>
      </c>
      <c r="O20" s="1396"/>
      <c r="P20" s="1396"/>
      <c r="Q20" s="1396"/>
      <c r="S20" s="1531" t="s">
        <v>967</v>
      </c>
      <c r="T20" s="1396"/>
      <c r="U20" s="1396"/>
      <c r="V20" s="1396"/>
      <c r="W20" s="915" t="s">
        <v>968</v>
      </c>
      <c r="X20" s="915" t="s">
        <v>257</v>
      </c>
      <c r="Z20" s="431"/>
      <c r="AA20" s="431"/>
      <c r="AB20" s="431"/>
    </row>
    <row r="21" spans="1:28" ht="14.25" customHeight="1">
      <c r="A21" s="883">
        <v>11</v>
      </c>
      <c r="B21" s="884" t="s">
        <v>928</v>
      </c>
      <c r="C21" s="885" t="s">
        <v>969</v>
      </c>
      <c r="D21" s="886" t="s">
        <v>970</v>
      </c>
      <c r="E21" s="886" t="s">
        <v>971</v>
      </c>
      <c r="F21" s="886" t="s">
        <v>972</v>
      </c>
      <c r="G21" s="886" t="s">
        <v>940</v>
      </c>
      <c r="H21" s="887" t="s">
        <v>934</v>
      </c>
      <c r="I21" s="888">
        <v>71172</v>
      </c>
      <c r="J21" s="889" t="s">
        <v>935</v>
      </c>
      <c r="K21" s="890">
        <f>+I21*VLOOKUP(J21,'Factores Emisión EDGE'!$K$228:$L$230,2,FALSE)/1000</f>
        <v>21.3943032</v>
      </c>
      <c r="L21" s="900">
        <f t="shared" si="0"/>
        <v>3.9164648440680003</v>
      </c>
      <c r="M21" s="431"/>
      <c r="N21" s="1530" t="s">
        <v>973</v>
      </c>
      <c r="O21" s="85" t="s">
        <v>935</v>
      </c>
      <c r="P21" s="916">
        <v>0.39069999999999999</v>
      </c>
      <c r="Q21" s="49" t="s">
        <v>142</v>
      </c>
      <c r="S21" s="1530" t="s">
        <v>973</v>
      </c>
      <c r="T21" s="85" t="s">
        <v>935</v>
      </c>
      <c r="U21" s="917">
        <v>0.30059999999999998</v>
      </c>
      <c r="V21" s="49" t="s">
        <v>142</v>
      </c>
      <c r="W21" s="918">
        <f t="shared" ref="W21:W23" si="12">-P21+U21</f>
        <v>-9.0100000000000013E-2</v>
      </c>
      <c r="X21" s="919">
        <f t="shared" ref="X21:X23" si="13">-W21/P21</f>
        <v>0.23061172254927059</v>
      </c>
      <c r="Z21" s="920"/>
      <c r="AA21" s="920"/>
      <c r="AB21" s="920"/>
    </row>
    <row r="22" spans="1:28" ht="14.25" customHeight="1">
      <c r="A22" s="883">
        <v>12</v>
      </c>
      <c r="B22" s="884" t="s">
        <v>937</v>
      </c>
      <c r="C22" s="885" t="s">
        <v>974</v>
      </c>
      <c r="D22" s="886" t="s">
        <v>946</v>
      </c>
      <c r="E22" s="886" t="s">
        <v>975</v>
      </c>
      <c r="F22" s="886" t="s">
        <v>976</v>
      </c>
      <c r="G22" s="886" t="s">
        <v>940</v>
      </c>
      <c r="H22" s="887" t="s">
        <v>934</v>
      </c>
      <c r="I22" s="888">
        <v>66720</v>
      </c>
      <c r="J22" s="889" t="s">
        <v>935</v>
      </c>
      <c r="K22" s="890">
        <f>+I22*VLOOKUP(J22,'Factores Emisión EDGE'!$K$228:$L$230,2,FALSE)/1000</f>
        <v>20.056031999999998</v>
      </c>
      <c r="L22" s="900">
        <f t="shared" si="0"/>
        <v>3.6714794356800002</v>
      </c>
      <c r="M22" s="445"/>
      <c r="N22" s="1542"/>
      <c r="O22" s="85" t="s">
        <v>977</v>
      </c>
      <c r="P22" s="921">
        <v>0.72450000000000003</v>
      </c>
      <c r="Q22" s="49" t="s">
        <v>142</v>
      </c>
      <c r="S22" s="1387"/>
      <c r="T22" s="85" t="s">
        <v>977</v>
      </c>
      <c r="U22" s="922">
        <v>0.72450000000000003</v>
      </c>
      <c r="V22" s="49" t="s">
        <v>142</v>
      </c>
      <c r="W22" s="923">
        <f t="shared" si="12"/>
        <v>0</v>
      </c>
      <c r="X22" s="919">
        <f t="shared" si="13"/>
        <v>0</v>
      </c>
      <c r="Z22" s="431"/>
      <c r="AA22" s="431"/>
      <c r="AB22" s="431"/>
    </row>
    <row r="23" spans="1:28" ht="14.25" customHeight="1">
      <c r="A23" s="883">
        <v>13</v>
      </c>
      <c r="B23" s="884" t="s">
        <v>941</v>
      </c>
      <c r="C23" s="885" t="s">
        <v>978</v>
      </c>
      <c r="D23" s="886" t="s">
        <v>946</v>
      </c>
      <c r="E23" s="886" t="s">
        <v>979</v>
      </c>
      <c r="F23" s="886" t="s">
        <v>947</v>
      </c>
      <c r="G23" s="886" t="s">
        <v>940</v>
      </c>
      <c r="H23" s="887" t="s">
        <v>934</v>
      </c>
      <c r="I23" s="888">
        <v>56436</v>
      </c>
      <c r="J23" s="889" t="s">
        <v>935</v>
      </c>
      <c r="K23" s="890">
        <f>+I23*VLOOKUP(J23,'Factores Emisión EDGE'!$K$228:$L$230,2,FALSE)/1000</f>
        <v>16.964661599999999</v>
      </c>
      <c r="L23" s="900">
        <f t="shared" si="0"/>
        <v>3.1055697456840003</v>
      </c>
      <c r="M23" s="445"/>
      <c r="N23" s="924"/>
      <c r="O23" s="85" t="s">
        <v>980</v>
      </c>
      <c r="P23" s="916">
        <v>0.59279166666666672</v>
      </c>
      <c r="Q23" s="49" t="s">
        <v>142</v>
      </c>
      <c r="S23" s="1387"/>
      <c r="T23" s="85" t="s">
        <v>980</v>
      </c>
      <c r="U23" s="917">
        <v>0.59279166666666672</v>
      </c>
      <c r="V23" s="49" t="s">
        <v>142</v>
      </c>
      <c r="W23" s="923">
        <f t="shared" si="12"/>
        <v>0</v>
      </c>
      <c r="X23" s="919">
        <f t="shared" si="13"/>
        <v>0</v>
      </c>
      <c r="Z23" s="431"/>
      <c r="AA23" s="431"/>
      <c r="AB23" s="431"/>
    </row>
    <row r="24" spans="1:28" ht="14.25" customHeight="1">
      <c r="A24" s="883">
        <v>14</v>
      </c>
      <c r="B24" s="884" t="s">
        <v>937</v>
      </c>
      <c r="C24" s="885" t="s">
        <v>981</v>
      </c>
      <c r="D24" s="886" t="s">
        <v>954</v>
      </c>
      <c r="E24" s="886" t="s">
        <v>982</v>
      </c>
      <c r="F24" s="886" t="s">
        <v>956</v>
      </c>
      <c r="G24" s="886" t="s">
        <v>940</v>
      </c>
      <c r="H24" s="887" t="s">
        <v>934</v>
      </c>
      <c r="I24" s="888">
        <v>50040</v>
      </c>
      <c r="J24" s="889" t="s">
        <v>935</v>
      </c>
      <c r="K24" s="890">
        <f>+I24*VLOOKUP(J24,'Factores Emisión EDGE'!$K$228:$L$230,2,FALSE)/1000</f>
        <v>15.042024</v>
      </c>
      <c r="L24" s="900">
        <f t="shared" si="0"/>
        <v>2.7536095767600002</v>
      </c>
      <c r="M24" s="431"/>
      <c r="N24" s="1530" t="s">
        <v>983</v>
      </c>
      <c r="O24" s="64" t="s">
        <v>935</v>
      </c>
      <c r="P24" s="925">
        <f>+P21*(0.05/0.355)</f>
        <v>5.5028169014084506E-2</v>
      </c>
      <c r="Q24" s="29" t="s">
        <v>142</v>
      </c>
      <c r="S24" s="1388"/>
      <c r="T24" s="85" t="s">
        <v>984</v>
      </c>
      <c r="U24" s="917">
        <v>0</v>
      </c>
      <c r="V24" s="49" t="s">
        <v>142</v>
      </c>
      <c r="Z24" s="431"/>
      <c r="AA24" s="431"/>
      <c r="AB24" s="431"/>
    </row>
    <row r="25" spans="1:28" ht="14.25" customHeight="1">
      <c r="A25" s="883">
        <v>15</v>
      </c>
      <c r="B25" s="884" t="s">
        <v>948</v>
      </c>
      <c r="C25" s="885" t="s">
        <v>985</v>
      </c>
      <c r="D25" s="886" t="s">
        <v>930</v>
      </c>
      <c r="E25" s="886" t="s">
        <v>986</v>
      </c>
      <c r="F25" s="886" t="s">
        <v>943</v>
      </c>
      <c r="G25" s="886" t="s">
        <v>940</v>
      </c>
      <c r="H25" s="887" t="s">
        <v>934</v>
      </c>
      <c r="I25" s="888">
        <v>44707.038948462265</v>
      </c>
      <c r="J25" s="889" t="s">
        <v>935</v>
      </c>
      <c r="K25" s="890">
        <f>+I25*VLOOKUP(J25,'Factores Emisión EDGE'!$K$228:$L$230,2,FALSE)/1000</f>
        <v>13.438935907907755</v>
      </c>
      <c r="L25" s="900">
        <f t="shared" si="0"/>
        <v>2.460146494745564</v>
      </c>
      <c r="M25" s="431"/>
      <c r="N25" s="1388"/>
      <c r="O25" s="64" t="s">
        <v>984</v>
      </c>
      <c r="P25" s="925">
        <v>5.5028169014084506E-2</v>
      </c>
      <c r="Q25" s="29" t="s">
        <v>142</v>
      </c>
      <c r="S25" s="1530" t="s">
        <v>983</v>
      </c>
      <c r="T25" s="64" t="s">
        <v>935</v>
      </c>
      <c r="U25" s="926">
        <v>5.5028169014084506E-2</v>
      </c>
      <c r="V25" s="29" t="s">
        <v>142</v>
      </c>
      <c r="W25" s="923">
        <f t="shared" ref="W25:W26" si="14">-P24+U25</f>
        <v>0</v>
      </c>
      <c r="X25" s="919">
        <f t="shared" ref="X25:X26" si="15">-W25/P24</f>
        <v>0</v>
      </c>
      <c r="Z25" s="431"/>
      <c r="AA25" s="431"/>
      <c r="AB25" s="431"/>
    </row>
    <row r="26" spans="1:28" ht="14.25" customHeight="1">
      <c r="A26" s="883">
        <v>16</v>
      </c>
      <c r="B26" s="884" t="s">
        <v>928</v>
      </c>
      <c r="C26" s="885" t="s">
        <v>987</v>
      </c>
      <c r="D26" s="886" t="s">
        <v>988</v>
      </c>
      <c r="E26" s="886" t="s">
        <v>989</v>
      </c>
      <c r="F26" s="886" t="s">
        <v>952</v>
      </c>
      <c r="G26" s="886" t="s">
        <v>940</v>
      </c>
      <c r="H26" s="887" t="s">
        <v>934</v>
      </c>
      <c r="I26" s="888">
        <v>43692</v>
      </c>
      <c r="J26" s="889" t="s">
        <v>935</v>
      </c>
      <c r="K26" s="890">
        <f>+I26*VLOOKUP(J26,'Factores Emisión EDGE'!$K$228:$L$230,2,FALSE)/1000</f>
        <v>13.133815199999999</v>
      </c>
      <c r="L26" s="900">
        <f t="shared" si="0"/>
        <v>2.4042907599480001</v>
      </c>
      <c r="M26" s="431"/>
      <c r="R26" s="654"/>
      <c r="S26" s="1388"/>
      <c r="T26" s="64" t="s">
        <v>984</v>
      </c>
      <c r="U26" s="926">
        <v>5.5028169014084506E-2</v>
      </c>
      <c r="V26" s="29" t="s">
        <v>142</v>
      </c>
      <c r="W26" s="923">
        <f t="shared" si="14"/>
        <v>0</v>
      </c>
      <c r="X26" s="919">
        <f t="shared" si="15"/>
        <v>0</v>
      </c>
      <c r="Y26" s="431"/>
      <c r="Z26" s="431"/>
      <c r="AA26" s="431"/>
      <c r="AB26" s="431"/>
    </row>
    <row r="27" spans="1:28" ht="14.25" customHeight="1">
      <c r="A27" s="883">
        <v>17</v>
      </c>
      <c r="B27" s="884" t="s">
        <v>944</v>
      </c>
      <c r="C27" s="885" t="s">
        <v>990</v>
      </c>
      <c r="D27" s="886" t="s">
        <v>991</v>
      </c>
      <c r="E27" s="886" t="s">
        <v>992</v>
      </c>
      <c r="F27" s="886" t="s">
        <v>993</v>
      </c>
      <c r="G27" s="886" t="s">
        <v>940</v>
      </c>
      <c r="H27" s="887" t="s">
        <v>934</v>
      </c>
      <c r="I27" s="888">
        <v>41228.17</v>
      </c>
      <c r="J27" s="889" t="s">
        <v>935</v>
      </c>
      <c r="K27" s="890">
        <f>+I27*VLOOKUP(J27,'Factores Emisión EDGE'!$K$228:$L$230,2,FALSE)/1000</f>
        <v>12.393187901999998</v>
      </c>
      <c r="L27" s="900">
        <f t="shared" si="0"/>
        <v>2.2687107063207299</v>
      </c>
      <c r="M27" s="445"/>
      <c r="N27" s="1531" t="s">
        <v>994</v>
      </c>
      <c r="O27" s="1396"/>
      <c r="P27" s="1396"/>
      <c r="Q27" s="1396"/>
      <c r="R27" s="1396"/>
      <c r="S27" s="431"/>
      <c r="Y27" s="431"/>
      <c r="Z27" s="431"/>
      <c r="AA27" s="431"/>
      <c r="AB27" s="431"/>
    </row>
    <row r="28" spans="1:28" ht="14.25" customHeight="1">
      <c r="A28" s="883">
        <v>18</v>
      </c>
      <c r="B28" s="884" t="s">
        <v>928</v>
      </c>
      <c r="C28" s="885" t="s">
        <v>995</v>
      </c>
      <c r="D28" s="886" t="s">
        <v>946</v>
      </c>
      <c r="E28" s="886" t="s">
        <v>996</v>
      </c>
      <c r="F28" s="886" t="s">
        <v>976</v>
      </c>
      <c r="G28" s="886" t="s">
        <v>940</v>
      </c>
      <c r="H28" s="887" t="s">
        <v>934</v>
      </c>
      <c r="I28" s="888">
        <v>40752</v>
      </c>
      <c r="J28" s="889" t="s">
        <v>935</v>
      </c>
      <c r="K28" s="890">
        <f>+I28*VLOOKUP(J28,'Factores Emisión EDGE'!$K$228:$L$230,2,FALSE)/1000</f>
        <v>12.2500512</v>
      </c>
      <c r="L28" s="900">
        <f t="shared" si="0"/>
        <v>2.2425079430879999</v>
      </c>
      <c r="M28" s="445"/>
      <c r="P28" s="486" t="s">
        <v>423</v>
      </c>
      <c r="Q28" s="486" t="s">
        <v>424</v>
      </c>
      <c r="R28" s="486" t="s">
        <v>87</v>
      </c>
      <c r="S28" s="431"/>
      <c r="Y28" s="431"/>
      <c r="Z28" s="431"/>
      <c r="AA28" s="431"/>
      <c r="AB28" s="927" t="s">
        <v>997</v>
      </c>
    </row>
    <row r="29" spans="1:28" ht="14.25" customHeight="1">
      <c r="A29" s="883">
        <v>19</v>
      </c>
      <c r="B29" s="884" t="s">
        <v>928</v>
      </c>
      <c r="C29" s="885" t="s">
        <v>998</v>
      </c>
      <c r="D29" s="886" t="s">
        <v>999</v>
      </c>
      <c r="E29" s="886" t="s">
        <v>1000</v>
      </c>
      <c r="F29" s="886" t="s">
        <v>961</v>
      </c>
      <c r="G29" s="886" t="s">
        <v>940</v>
      </c>
      <c r="H29" s="887" t="s">
        <v>934</v>
      </c>
      <c r="I29" s="888">
        <v>37255</v>
      </c>
      <c r="J29" s="889" t="s">
        <v>935</v>
      </c>
      <c r="K29" s="890">
        <f>+I29*VLOOKUP(J29,'Factores Emisión EDGE'!$K$228:$L$230,2,FALSE)/1000</f>
        <v>11.198853</v>
      </c>
      <c r="L29" s="900">
        <f t="shared" si="0"/>
        <v>2.0500744360950001</v>
      </c>
      <c r="M29" s="445"/>
      <c r="N29" s="928"/>
      <c r="O29" s="929" t="s">
        <v>1001</v>
      </c>
      <c r="P29" s="897">
        <f>(W16-W17)*P21/1000</f>
        <v>1364.2228366204895</v>
      </c>
      <c r="Q29" s="897">
        <f>W16*P24/1000</f>
        <v>270.57411497471685</v>
      </c>
      <c r="R29" s="930">
        <f>P29+Q29</f>
        <v>1634.7969515952063</v>
      </c>
      <c r="S29" s="434"/>
      <c r="Y29" s="431"/>
      <c r="Z29" s="431"/>
      <c r="AA29" s="431"/>
      <c r="AB29" s="431"/>
    </row>
    <row r="30" spans="1:28" ht="14.25" customHeight="1">
      <c r="A30" s="883">
        <v>20</v>
      </c>
      <c r="B30" s="884" t="s">
        <v>944</v>
      </c>
      <c r="C30" s="885" t="s">
        <v>1002</v>
      </c>
      <c r="D30" s="886" t="s">
        <v>999</v>
      </c>
      <c r="E30" s="886" t="s">
        <v>1000</v>
      </c>
      <c r="F30" s="886" t="s">
        <v>1003</v>
      </c>
      <c r="G30" s="886" t="s">
        <v>940</v>
      </c>
      <c r="H30" s="887" t="s">
        <v>934</v>
      </c>
      <c r="I30" s="888">
        <v>35976.06</v>
      </c>
      <c r="J30" s="889" t="s">
        <v>935</v>
      </c>
      <c r="K30" s="890">
        <f>+I30*VLOOKUP(J30,'Factores Emisión EDGE'!$K$228:$L$230,2,FALSE)/1000</f>
        <v>10.814403636</v>
      </c>
      <c r="L30" s="900">
        <f t="shared" si="0"/>
        <v>1.97969670963414</v>
      </c>
      <c r="M30" s="445"/>
      <c r="N30" s="931"/>
      <c r="O30" s="929" t="s">
        <v>1004</v>
      </c>
      <c r="P30" s="931"/>
      <c r="Q30" s="930"/>
      <c r="R30" s="932">
        <f>-R29+Z16</f>
        <v>-291.02066366337499</v>
      </c>
      <c r="S30" s="434"/>
      <c r="Y30" s="431"/>
      <c r="Z30" s="431"/>
      <c r="AA30" s="431"/>
      <c r="AB30" s="431"/>
    </row>
    <row r="31" spans="1:28" ht="14.25" customHeight="1">
      <c r="A31" s="883">
        <v>21</v>
      </c>
      <c r="B31" s="884" t="s">
        <v>928</v>
      </c>
      <c r="C31" s="885" t="s">
        <v>1005</v>
      </c>
      <c r="D31" s="886" t="s">
        <v>954</v>
      </c>
      <c r="E31" s="886" t="s">
        <v>1006</v>
      </c>
      <c r="F31" s="886" t="s">
        <v>956</v>
      </c>
      <c r="G31" s="886" t="s">
        <v>940</v>
      </c>
      <c r="H31" s="887" t="s">
        <v>934</v>
      </c>
      <c r="I31" s="888">
        <v>32803.56</v>
      </c>
      <c r="J31" s="889" t="s">
        <v>935</v>
      </c>
      <c r="K31" s="890">
        <f>+I31*VLOOKUP(J31,'Factores Emisión EDGE'!$K$228:$L$230,2,FALSE)/1000</f>
        <v>9.8607501359999983</v>
      </c>
      <c r="L31" s="900">
        <f t="shared" si="0"/>
        <v>1.80511984348164</v>
      </c>
      <c r="M31" s="445"/>
      <c r="N31" s="931"/>
      <c r="O31" s="929" t="s">
        <v>1007</v>
      </c>
      <c r="P31" s="931"/>
      <c r="Q31" s="931"/>
      <c r="R31" s="933">
        <f>R30/S16</f>
        <v>-0.15365399348647044</v>
      </c>
      <c r="S31" s="434"/>
      <c r="Y31" s="431"/>
      <c r="Z31" s="431"/>
      <c r="AA31" s="431"/>
      <c r="AB31" s="431"/>
    </row>
    <row r="32" spans="1:28" ht="14.25" customHeight="1">
      <c r="A32" s="883">
        <v>22</v>
      </c>
      <c r="B32" s="884" t="s">
        <v>944</v>
      </c>
      <c r="C32" s="885" t="s">
        <v>1008</v>
      </c>
      <c r="D32" s="886" t="s">
        <v>950</v>
      </c>
      <c r="E32" s="886" t="s">
        <v>1009</v>
      </c>
      <c r="F32" s="886" t="s">
        <v>1010</v>
      </c>
      <c r="G32" s="886" t="s">
        <v>940</v>
      </c>
      <c r="H32" s="887" t="s">
        <v>934</v>
      </c>
      <c r="I32" s="888">
        <v>31482.171936193699</v>
      </c>
      <c r="J32" s="889" t="s">
        <v>935</v>
      </c>
      <c r="K32" s="890">
        <f>+I32*VLOOKUP(J32,'Factores Emisión EDGE'!$K$228:$L$230,2,FALSE)/1000</f>
        <v>9.4635408840198245</v>
      </c>
      <c r="L32" s="900">
        <f t="shared" si="0"/>
        <v>1.7324062777919242</v>
      </c>
      <c r="M32" s="431"/>
      <c r="N32" s="450"/>
      <c r="O32" s="450"/>
      <c r="P32" s="450"/>
      <c r="Q32" s="450"/>
      <c r="R32" s="450"/>
      <c r="S32" s="431"/>
      <c r="Y32" s="431"/>
      <c r="Z32" s="431"/>
      <c r="AA32" s="431"/>
      <c r="AB32" s="431"/>
    </row>
    <row r="33" spans="1:34" ht="14.25" customHeight="1">
      <c r="A33" s="883">
        <v>23</v>
      </c>
      <c r="B33" s="884" t="s">
        <v>928</v>
      </c>
      <c r="C33" s="885" t="s">
        <v>1011</v>
      </c>
      <c r="D33" s="886" t="s">
        <v>1012</v>
      </c>
      <c r="E33" s="886" t="s">
        <v>1013</v>
      </c>
      <c r="F33" s="886" t="s">
        <v>972</v>
      </c>
      <c r="G33" s="886" t="s">
        <v>940</v>
      </c>
      <c r="H33" s="887" t="s">
        <v>934</v>
      </c>
      <c r="I33" s="888">
        <v>30874</v>
      </c>
      <c r="J33" s="889" t="s">
        <v>935</v>
      </c>
      <c r="K33" s="890">
        <f>+I33*VLOOKUP(J33,'Factores Emisión EDGE'!$K$228:$L$230,2,FALSE)/1000</f>
        <v>9.2807243999999987</v>
      </c>
      <c r="L33" s="900">
        <f t="shared" si="0"/>
        <v>1.6989396897060001</v>
      </c>
      <c r="M33" s="431"/>
      <c r="N33" s="654"/>
      <c r="O33" s="654"/>
      <c r="P33" s="654"/>
      <c r="Q33" s="654"/>
      <c r="R33" s="654"/>
      <c r="S33" s="431"/>
      <c r="T33" s="431"/>
      <c r="U33" s="431"/>
      <c r="V33" s="431"/>
      <c r="W33" s="431"/>
      <c r="X33" s="431"/>
      <c r="Y33" s="431"/>
      <c r="Z33" s="431"/>
      <c r="AA33" s="431"/>
      <c r="AB33" s="431"/>
      <c r="AC33" s="431"/>
      <c r="AD33" s="431"/>
      <c r="AE33" s="431"/>
      <c r="AF33" s="431"/>
      <c r="AG33" s="431"/>
      <c r="AH33" s="431"/>
    </row>
    <row r="34" spans="1:34" ht="14.25" customHeight="1">
      <c r="A34" s="883">
        <v>24</v>
      </c>
      <c r="B34" s="884" t="s">
        <v>948</v>
      </c>
      <c r="C34" s="885" t="s">
        <v>1014</v>
      </c>
      <c r="D34" s="886" t="s">
        <v>930</v>
      </c>
      <c r="E34" s="886" t="s">
        <v>1015</v>
      </c>
      <c r="F34" s="886" t="s">
        <v>943</v>
      </c>
      <c r="G34" s="886" t="s">
        <v>940</v>
      </c>
      <c r="H34" s="887" t="s">
        <v>934</v>
      </c>
      <c r="I34" s="888">
        <v>30282.1</v>
      </c>
      <c r="J34" s="889" t="s">
        <v>935</v>
      </c>
      <c r="K34" s="890">
        <f>+I34*VLOOKUP(J34,'Factores Emisión EDGE'!$K$228:$L$230,2,FALSE)/1000</f>
        <v>9.1027992599999994</v>
      </c>
      <c r="L34" s="900">
        <f t="shared" si="0"/>
        <v>1.6663685164749</v>
      </c>
      <c r="M34" s="445"/>
      <c r="N34" s="654"/>
      <c r="O34" s="654"/>
      <c r="P34" s="654"/>
      <c r="Q34" s="654"/>
      <c r="R34" s="654"/>
      <c r="S34" s="431"/>
      <c r="T34" s="431"/>
      <c r="U34" s="431"/>
      <c r="V34" s="431"/>
      <c r="W34" s="431"/>
      <c r="X34" s="431"/>
      <c r="Y34" s="431"/>
      <c r="Z34" s="431"/>
      <c r="AA34" s="431"/>
      <c r="AB34" s="431"/>
      <c r="AC34" s="431"/>
      <c r="AD34" s="431"/>
      <c r="AE34" s="431"/>
      <c r="AF34" s="431"/>
      <c r="AG34" s="431"/>
      <c r="AH34" s="431"/>
    </row>
    <row r="35" spans="1:34" ht="14.25" customHeight="1">
      <c r="A35" s="883">
        <v>25</v>
      </c>
      <c r="B35" s="884" t="s">
        <v>928</v>
      </c>
      <c r="C35" s="885" t="s">
        <v>1016</v>
      </c>
      <c r="D35" s="886" t="s">
        <v>1017</v>
      </c>
      <c r="E35" s="886" t="s">
        <v>1018</v>
      </c>
      <c r="F35" s="886" t="s">
        <v>952</v>
      </c>
      <c r="G35" s="886" t="s">
        <v>940</v>
      </c>
      <c r="H35" s="887" t="s">
        <v>934</v>
      </c>
      <c r="I35" s="888">
        <v>29745.354846828253</v>
      </c>
      <c r="J35" s="889" t="s">
        <v>935</v>
      </c>
      <c r="K35" s="890">
        <f>+I35*VLOOKUP(J35,'Factores Emisión EDGE'!$K$228:$L$230,2,FALSE)/1000</f>
        <v>8.9414536669565727</v>
      </c>
      <c r="L35" s="900">
        <f t="shared" si="0"/>
        <v>1.6368324134762342</v>
      </c>
      <c r="M35" s="445"/>
      <c r="N35" s="1532" t="s">
        <v>1019</v>
      </c>
      <c r="O35" s="1434"/>
      <c r="P35" s="1434"/>
      <c r="Q35" s="1434"/>
      <c r="R35" s="1434"/>
      <c r="S35" s="1434"/>
      <c r="T35" s="1434"/>
      <c r="U35" s="1434"/>
      <c r="V35" s="1434"/>
      <c r="W35" s="1434"/>
      <c r="X35" s="1434"/>
      <c r="Y35" s="1434"/>
      <c r="Z35" s="1434"/>
      <c r="AA35" s="1434"/>
      <c r="AB35" s="1434"/>
      <c r="AC35" s="1434"/>
      <c r="AD35" s="1434"/>
      <c r="AE35" s="1434"/>
      <c r="AF35" s="1434"/>
      <c r="AG35" s="1434"/>
      <c r="AH35" s="1435"/>
    </row>
    <row r="36" spans="1:34" ht="14.25" customHeight="1">
      <c r="A36" s="883">
        <v>26</v>
      </c>
      <c r="B36" s="884" t="s">
        <v>944</v>
      </c>
      <c r="C36" s="885" t="s">
        <v>1020</v>
      </c>
      <c r="D36" s="886" t="s">
        <v>991</v>
      </c>
      <c r="E36" s="886" t="s">
        <v>1021</v>
      </c>
      <c r="F36" s="886" t="s">
        <v>993</v>
      </c>
      <c r="G36" s="886" t="s">
        <v>940</v>
      </c>
      <c r="H36" s="887" t="s">
        <v>934</v>
      </c>
      <c r="I36" s="888">
        <v>28320</v>
      </c>
      <c r="J36" s="889" t="s">
        <v>935</v>
      </c>
      <c r="K36" s="890">
        <f>+I36*VLOOKUP(J36,'Factores Emisión EDGE'!$K$228:$L$230,2,FALSE)/1000</f>
        <v>8.5129920000000006</v>
      </c>
      <c r="L36" s="900">
        <f t="shared" si="0"/>
        <v>1.5583977460800003</v>
      </c>
      <c r="M36" s="445"/>
      <c r="N36" s="934"/>
      <c r="O36" s="935">
        <v>2021</v>
      </c>
      <c r="P36" s="935">
        <v>2022</v>
      </c>
      <c r="Q36" s="935" t="s">
        <v>469</v>
      </c>
      <c r="R36" s="935" t="s">
        <v>257</v>
      </c>
      <c r="S36" s="1533" t="s">
        <v>496</v>
      </c>
      <c r="T36" s="1434"/>
      <c r="U36" s="1434"/>
      <c r="V36" s="1434"/>
      <c r="W36" s="1434"/>
      <c r="X36" s="1434"/>
      <c r="Y36" s="1434"/>
      <c r="Z36" s="1434"/>
      <c r="AA36" s="1434"/>
      <c r="AB36" s="1434"/>
      <c r="AC36" s="1434"/>
      <c r="AD36" s="1434"/>
      <c r="AE36" s="1434"/>
      <c r="AF36" s="1434"/>
      <c r="AG36" s="1434"/>
      <c r="AH36" s="1435"/>
    </row>
    <row r="37" spans="1:34" ht="14.25" customHeight="1">
      <c r="A37" s="883">
        <v>27</v>
      </c>
      <c r="B37" s="884" t="s">
        <v>928</v>
      </c>
      <c r="C37" s="885" t="s">
        <v>1022</v>
      </c>
      <c r="D37" s="886" t="s">
        <v>946</v>
      </c>
      <c r="E37" s="886" t="s">
        <v>1023</v>
      </c>
      <c r="F37" s="886" t="s">
        <v>976</v>
      </c>
      <c r="G37" s="886" t="s">
        <v>940</v>
      </c>
      <c r="H37" s="887" t="s">
        <v>934</v>
      </c>
      <c r="I37" s="888">
        <v>26607</v>
      </c>
      <c r="J37" s="889" t="s">
        <v>935</v>
      </c>
      <c r="K37" s="890">
        <f>+I37*VLOOKUP(J37,'Factores Emisión EDGE'!$K$228:$L$230,2,FALSE)/1000</f>
        <v>7.9980642</v>
      </c>
      <c r="L37" s="900">
        <f t="shared" si="0"/>
        <v>1.4641344925830002</v>
      </c>
      <c r="M37" s="445"/>
      <c r="N37" s="936" t="s">
        <v>1024</v>
      </c>
      <c r="O37" s="937">
        <f>P16</f>
        <v>5497449</v>
      </c>
      <c r="P37" s="937">
        <f>W16</f>
        <v>4917011.0476593031</v>
      </c>
      <c r="Q37" s="937">
        <f t="shared" ref="Q37:Q48" si="16">P37-O37</f>
        <v>-580437.95234069694</v>
      </c>
      <c r="R37" s="938">
        <f t="shared" ref="R37:R39" si="17">Q37/O37</f>
        <v>-0.10558314453498285</v>
      </c>
      <c r="S37" s="1534" t="s">
        <v>1025</v>
      </c>
      <c r="T37" s="1434"/>
      <c r="U37" s="1434"/>
      <c r="V37" s="1434"/>
      <c r="W37" s="1434"/>
      <c r="X37" s="1434"/>
      <c r="Y37" s="1434"/>
      <c r="Z37" s="1434"/>
      <c r="AA37" s="1434"/>
      <c r="AB37" s="1434"/>
      <c r="AC37" s="1434"/>
      <c r="AD37" s="1434"/>
      <c r="AE37" s="1434"/>
      <c r="AF37" s="1434"/>
      <c r="AG37" s="1434"/>
      <c r="AH37" s="1435"/>
    </row>
    <row r="38" spans="1:34" ht="14.25" customHeight="1">
      <c r="A38" s="883">
        <v>28</v>
      </c>
      <c r="B38" s="884" t="s">
        <v>948</v>
      </c>
      <c r="C38" s="885" t="s">
        <v>1026</v>
      </c>
      <c r="D38" s="886" t="s">
        <v>930</v>
      </c>
      <c r="E38" s="886" t="s">
        <v>1027</v>
      </c>
      <c r="F38" s="886" t="s">
        <v>943</v>
      </c>
      <c r="G38" s="886" t="s">
        <v>940</v>
      </c>
      <c r="H38" s="887" t="s">
        <v>934</v>
      </c>
      <c r="I38" s="888">
        <v>25860</v>
      </c>
      <c r="J38" s="889" t="s">
        <v>935</v>
      </c>
      <c r="K38" s="890">
        <f>+I38*VLOOKUP(J38,'Factores Emisión EDGE'!$K$228:$L$230,2,FALSE)/1000</f>
        <v>7.7735159999999999</v>
      </c>
      <c r="L38" s="900">
        <f t="shared" si="0"/>
        <v>1.4230284503400001</v>
      </c>
      <c r="M38" s="445"/>
      <c r="N38" s="936" t="s">
        <v>1028</v>
      </c>
      <c r="O38" s="939">
        <f>O37/O4</f>
        <v>0.16687683680055873</v>
      </c>
      <c r="P38" s="939">
        <f>P37/O5</f>
        <v>0.25735652511475304</v>
      </c>
      <c r="Q38" s="939">
        <f t="shared" si="16"/>
        <v>9.0479688314194312E-2</v>
      </c>
      <c r="R38" s="938">
        <f t="shared" si="17"/>
        <v>0.5421944114528624</v>
      </c>
      <c r="S38" s="1534" t="s">
        <v>1029</v>
      </c>
      <c r="T38" s="1434"/>
      <c r="U38" s="1434"/>
      <c r="V38" s="1434"/>
      <c r="W38" s="1434"/>
      <c r="X38" s="1434"/>
      <c r="Y38" s="1434"/>
      <c r="Z38" s="1434"/>
      <c r="AA38" s="1434"/>
      <c r="AB38" s="1434"/>
      <c r="AC38" s="1434"/>
      <c r="AD38" s="1434"/>
      <c r="AE38" s="1434"/>
      <c r="AF38" s="1434"/>
      <c r="AG38" s="1434"/>
      <c r="AH38" s="1435"/>
    </row>
    <row r="39" spans="1:34" ht="14.25" customHeight="1">
      <c r="A39" s="883">
        <v>29</v>
      </c>
      <c r="B39" s="884" t="s">
        <v>948</v>
      </c>
      <c r="C39" s="885" t="s">
        <v>1030</v>
      </c>
      <c r="D39" s="886" t="s">
        <v>930</v>
      </c>
      <c r="E39" s="886" t="s">
        <v>1031</v>
      </c>
      <c r="F39" s="886" t="s">
        <v>943</v>
      </c>
      <c r="G39" s="886" t="s">
        <v>940</v>
      </c>
      <c r="H39" s="887" t="s">
        <v>934</v>
      </c>
      <c r="I39" s="888">
        <v>23142.856880621126</v>
      </c>
      <c r="J39" s="889" t="s">
        <v>935</v>
      </c>
      <c r="K39" s="890">
        <f>+I39*VLOOKUP(J39,'Factores Emisión EDGE'!$K$228:$L$230,2,FALSE)/1000</f>
        <v>6.9567427783147098</v>
      </c>
      <c r="L39" s="900">
        <f t="shared" si="0"/>
        <v>1.2735090395696322</v>
      </c>
      <c r="M39" s="445"/>
      <c r="N39" s="940" t="s">
        <v>984</v>
      </c>
      <c r="O39" s="941">
        <f>P17</f>
        <v>1540795</v>
      </c>
      <c r="P39" s="941">
        <f>W17</f>
        <v>1425271</v>
      </c>
      <c r="Q39" s="941">
        <f t="shared" si="16"/>
        <v>-115524</v>
      </c>
      <c r="R39" s="942">
        <f t="shared" si="17"/>
        <v>-7.4976878819051199E-2</v>
      </c>
      <c r="S39" s="1535" t="s">
        <v>1032</v>
      </c>
      <c r="T39" s="1434"/>
      <c r="U39" s="1434"/>
      <c r="V39" s="1434"/>
      <c r="W39" s="1434"/>
      <c r="X39" s="1434"/>
      <c r="Y39" s="1434"/>
      <c r="Z39" s="1434"/>
      <c r="AA39" s="1434"/>
      <c r="AB39" s="1434"/>
      <c r="AC39" s="1434"/>
      <c r="AD39" s="1434"/>
      <c r="AE39" s="1434"/>
      <c r="AF39" s="1434"/>
      <c r="AG39" s="1434"/>
      <c r="AH39" s="1435"/>
    </row>
    <row r="40" spans="1:34" ht="14.25" customHeight="1">
      <c r="A40" s="883">
        <v>30</v>
      </c>
      <c r="B40" s="884" t="s">
        <v>948</v>
      </c>
      <c r="C40" s="885" t="s">
        <v>1033</v>
      </c>
      <c r="D40" s="886" t="s">
        <v>946</v>
      </c>
      <c r="E40" s="886" t="s">
        <v>946</v>
      </c>
      <c r="F40" s="886" t="s">
        <v>947</v>
      </c>
      <c r="G40" s="886" t="s">
        <v>940</v>
      </c>
      <c r="H40" s="887" t="s">
        <v>934</v>
      </c>
      <c r="I40" s="888">
        <v>21439.399999999998</v>
      </c>
      <c r="J40" s="889" t="s">
        <v>935</v>
      </c>
      <c r="K40" s="890">
        <f>+I40*VLOOKUP(J40,'Factores Emisión EDGE'!$K$228:$L$230,2,FALSE)/1000</f>
        <v>6.4446836399999992</v>
      </c>
      <c r="L40" s="900">
        <f t="shared" si="0"/>
        <v>1.1797709264585998</v>
      </c>
      <c r="M40" s="445"/>
      <c r="N40" s="940" t="s">
        <v>396</v>
      </c>
      <c r="O40" s="942">
        <f t="shared" ref="O40:P40" si="18">O39/O37</f>
        <v>0.28027454188297152</v>
      </c>
      <c r="P40" s="942">
        <f t="shared" si="18"/>
        <v>0.28986532391024156</v>
      </c>
      <c r="Q40" s="942">
        <f t="shared" si="16"/>
        <v>9.5907820272700395E-3</v>
      </c>
      <c r="R40" s="942">
        <f>Q40</f>
        <v>9.5907820272700395E-3</v>
      </c>
      <c r="S40" s="1535" t="s">
        <v>1034</v>
      </c>
      <c r="T40" s="1434"/>
      <c r="U40" s="1434"/>
      <c r="V40" s="1434"/>
      <c r="W40" s="1434"/>
      <c r="X40" s="1434"/>
      <c r="Y40" s="1434"/>
      <c r="Z40" s="1434"/>
      <c r="AA40" s="1434"/>
      <c r="AB40" s="1434"/>
      <c r="AC40" s="1434"/>
      <c r="AD40" s="1434"/>
      <c r="AE40" s="1434"/>
      <c r="AF40" s="1434"/>
      <c r="AG40" s="1434"/>
      <c r="AH40" s="1435"/>
    </row>
    <row r="41" spans="1:34" ht="14.25" customHeight="1">
      <c r="A41" s="883">
        <v>31</v>
      </c>
      <c r="B41" s="884" t="s">
        <v>928</v>
      </c>
      <c r="C41" s="885" t="s">
        <v>1035</v>
      </c>
      <c r="D41" s="886" t="s">
        <v>965</v>
      </c>
      <c r="E41" s="886" t="s">
        <v>1036</v>
      </c>
      <c r="F41" s="886" t="s">
        <v>961</v>
      </c>
      <c r="G41" s="886" t="s">
        <v>940</v>
      </c>
      <c r="H41" s="887" t="s">
        <v>934</v>
      </c>
      <c r="I41" s="888">
        <v>21065.454545454544</v>
      </c>
      <c r="J41" s="889" t="s">
        <v>935</v>
      </c>
      <c r="K41" s="890">
        <f>+I41*VLOOKUP(J41,'Factores Emisión EDGE'!$K$228:$L$230,2,FALSE)/1000</f>
        <v>6.3322756363636357</v>
      </c>
      <c r="L41" s="900">
        <f t="shared" si="0"/>
        <v>1.1591933927890909</v>
      </c>
      <c r="M41" s="445"/>
      <c r="N41" s="940" t="s">
        <v>1037</v>
      </c>
      <c r="O41" s="941">
        <f t="shared" ref="O41:P41" si="19">O37-O39</f>
        <v>3956654</v>
      </c>
      <c r="P41" s="941">
        <f t="shared" si="19"/>
        <v>3491740.0476593031</v>
      </c>
      <c r="Q41" s="941">
        <f t="shared" si="16"/>
        <v>-464913.95234069694</v>
      </c>
      <c r="R41" s="942">
        <f t="shared" ref="R41:R48" si="20">Q41/O41</f>
        <v>-0.11750179630078772</v>
      </c>
      <c r="S41" s="1535"/>
      <c r="T41" s="1434"/>
      <c r="U41" s="1434"/>
      <c r="V41" s="1434"/>
      <c r="W41" s="1434"/>
      <c r="X41" s="1434"/>
      <c r="Y41" s="1434"/>
      <c r="Z41" s="1434"/>
      <c r="AA41" s="1434"/>
      <c r="AB41" s="1434"/>
      <c r="AC41" s="1434"/>
      <c r="AD41" s="1434"/>
      <c r="AE41" s="1434"/>
      <c r="AF41" s="1434"/>
      <c r="AG41" s="1434"/>
      <c r="AH41" s="1435"/>
    </row>
    <row r="42" spans="1:34" ht="14.25" customHeight="1">
      <c r="A42" s="883">
        <v>32</v>
      </c>
      <c r="B42" s="943" t="s">
        <v>944</v>
      </c>
      <c r="C42" s="885" t="s">
        <v>1038</v>
      </c>
      <c r="D42" s="885" t="s">
        <v>1039</v>
      </c>
      <c r="E42" s="885" t="s">
        <v>1039</v>
      </c>
      <c r="F42" s="885" t="s">
        <v>947</v>
      </c>
      <c r="G42" s="885" t="s">
        <v>940</v>
      </c>
      <c r="H42" s="944" t="s">
        <v>934</v>
      </c>
      <c r="I42" s="888">
        <v>21000</v>
      </c>
      <c r="J42" s="889" t="s">
        <v>935</v>
      </c>
      <c r="K42" s="890">
        <f>+I42*VLOOKUP(J42,'Factores Emisión EDGE'!$K$228:$L$230,2,FALSE)/1000</f>
        <v>6.3125999999999998</v>
      </c>
      <c r="L42" s="900">
        <f t="shared" si="0"/>
        <v>1.1555915489999999</v>
      </c>
      <c r="M42" s="445"/>
      <c r="N42" s="940" t="s">
        <v>1040</v>
      </c>
      <c r="O42" s="945">
        <f t="shared" ref="O42:P42" si="21">O47*1000/O37</f>
        <v>0.3445234325957367</v>
      </c>
      <c r="P42" s="945">
        <f t="shared" si="21"/>
        <v>0.27329128914028439</v>
      </c>
      <c r="Q42" s="945">
        <f t="shared" si="16"/>
        <v>-7.1232143455452313E-2</v>
      </c>
      <c r="R42" s="942">
        <f t="shared" si="20"/>
        <v>-0.20675558384743023</v>
      </c>
      <c r="S42" s="1535" t="s">
        <v>1041</v>
      </c>
      <c r="T42" s="1434"/>
      <c r="U42" s="1434"/>
      <c r="V42" s="1434"/>
      <c r="W42" s="1434"/>
      <c r="X42" s="1434"/>
      <c r="Y42" s="1434"/>
      <c r="Z42" s="1434"/>
      <c r="AA42" s="1434"/>
      <c r="AB42" s="1434"/>
      <c r="AC42" s="1434"/>
      <c r="AD42" s="1434"/>
      <c r="AE42" s="1434"/>
      <c r="AF42" s="1434"/>
      <c r="AG42" s="1434"/>
      <c r="AH42" s="1435"/>
    </row>
    <row r="43" spans="1:34" ht="14.25" customHeight="1">
      <c r="A43" s="883">
        <v>33</v>
      </c>
      <c r="B43" s="884" t="s">
        <v>944</v>
      </c>
      <c r="C43" s="885" t="s">
        <v>1042</v>
      </c>
      <c r="D43" s="886" t="s">
        <v>1043</v>
      </c>
      <c r="E43" s="886" t="s">
        <v>1044</v>
      </c>
      <c r="F43" s="886" t="s">
        <v>1045</v>
      </c>
      <c r="G43" s="886" t="s">
        <v>940</v>
      </c>
      <c r="H43" s="887" t="s">
        <v>934</v>
      </c>
      <c r="I43" s="888">
        <v>19888</v>
      </c>
      <c r="J43" s="889" t="s">
        <v>980</v>
      </c>
      <c r="K43" s="890">
        <f>+I43*VLOOKUP(J43,'Factores Emisión EDGE'!$K$228:$L$230,2,FALSE)/1000</f>
        <v>11.789440666666668</v>
      </c>
      <c r="L43" s="900">
        <f t="shared" si="0"/>
        <v>1.094400225072</v>
      </c>
      <c r="M43" s="445"/>
      <c r="N43" s="940" t="s">
        <v>1046</v>
      </c>
      <c r="O43" s="941">
        <f>O16</f>
        <v>246</v>
      </c>
      <c r="P43" s="941">
        <f>V16</f>
        <v>231</v>
      </c>
      <c r="Q43" s="941">
        <f t="shared" si="16"/>
        <v>-15</v>
      </c>
      <c r="R43" s="942">
        <f t="shared" si="20"/>
        <v>-6.097560975609756E-2</v>
      </c>
      <c r="S43" s="1535" t="s">
        <v>1047</v>
      </c>
      <c r="T43" s="1434"/>
      <c r="U43" s="1434"/>
      <c r="V43" s="1434"/>
      <c r="W43" s="1434"/>
      <c r="X43" s="1434"/>
      <c r="Y43" s="1434"/>
      <c r="Z43" s="1434"/>
      <c r="AA43" s="1434"/>
      <c r="AB43" s="1434"/>
      <c r="AC43" s="1434"/>
      <c r="AD43" s="1434"/>
      <c r="AE43" s="1434"/>
      <c r="AF43" s="1434"/>
      <c r="AG43" s="1434"/>
      <c r="AH43" s="1435"/>
    </row>
    <row r="44" spans="1:34" ht="14.25" customHeight="1">
      <c r="A44" s="883">
        <v>34</v>
      </c>
      <c r="B44" s="884" t="s">
        <v>941</v>
      </c>
      <c r="C44" s="885" t="s">
        <v>1048</v>
      </c>
      <c r="D44" s="886" t="s">
        <v>954</v>
      </c>
      <c r="E44" s="886" t="s">
        <v>1049</v>
      </c>
      <c r="F44" s="886" t="s">
        <v>956</v>
      </c>
      <c r="G44" s="886" t="s">
        <v>940</v>
      </c>
      <c r="H44" s="887" t="s">
        <v>934</v>
      </c>
      <c r="I44" s="888">
        <v>19116</v>
      </c>
      <c r="J44" s="889" t="s">
        <v>935</v>
      </c>
      <c r="K44" s="890">
        <f>+I44*VLOOKUP(J44,'Factores Emisión EDGE'!$K$228:$L$230,2,FALSE)/1000</f>
        <v>5.7462695999999998</v>
      </c>
      <c r="L44" s="900">
        <f t="shared" si="0"/>
        <v>1.0519184786040001</v>
      </c>
      <c r="M44" s="445"/>
      <c r="N44" s="940" t="s">
        <v>1050</v>
      </c>
      <c r="O44" s="941">
        <f t="shared" ref="O44:P44" si="22">O37/O43</f>
        <v>22347.353658536584</v>
      </c>
      <c r="P44" s="941">
        <f t="shared" si="22"/>
        <v>21285.762111079235</v>
      </c>
      <c r="Q44" s="941">
        <f t="shared" si="16"/>
        <v>-1061.5915474573485</v>
      </c>
      <c r="R44" s="942">
        <f t="shared" si="20"/>
        <v>-4.7504127946345252E-2</v>
      </c>
      <c r="S44" s="1535" t="s">
        <v>1051</v>
      </c>
      <c r="T44" s="1434"/>
      <c r="U44" s="1434"/>
      <c r="V44" s="1434"/>
      <c r="W44" s="1434"/>
      <c r="X44" s="1434"/>
      <c r="Y44" s="1434"/>
      <c r="Z44" s="1434"/>
      <c r="AA44" s="1434"/>
      <c r="AB44" s="1434"/>
      <c r="AC44" s="1434"/>
      <c r="AD44" s="1434"/>
      <c r="AE44" s="1434"/>
      <c r="AF44" s="1434"/>
      <c r="AG44" s="1434"/>
      <c r="AH44" s="1435"/>
    </row>
    <row r="45" spans="1:34" ht="14.25" customHeight="1">
      <c r="A45" s="883">
        <v>35</v>
      </c>
      <c r="B45" s="884" t="s">
        <v>948</v>
      </c>
      <c r="C45" s="885" t="s">
        <v>1052</v>
      </c>
      <c r="D45" s="886" t="s">
        <v>930</v>
      </c>
      <c r="E45" s="886" t="s">
        <v>1053</v>
      </c>
      <c r="F45" s="886" t="s">
        <v>943</v>
      </c>
      <c r="G45" s="886" t="s">
        <v>940</v>
      </c>
      <c r="H45" s="887" t="s">
        <v>934</v>
      </c>
      <c r="I45" s="888">
        <v>18264</v>
      </c>
      <c r="J45" s="889" t="s">
        <v>935</v>
      </c>
      <c r="K45" s="890">
        <f>+I45*VLOOKUP(J45,'Factores Emisión EDGE'!$K$228:$L$230,2,FALSE)/1000</f>
        <v>5.4901583999999994</v>
      </c>
      <c r="L45" s="900">
        <f t="shared" si="0"/>
        <v>1.0050344786159999</v>
      </c>
      <c r="M45" s="445"/>
      <c r="N45" s="940" t="s">
        <v>1054</v>
      </c>
      <c r="O45" s="941">
        <f>O37/O11</f>
        <v>183248.3</v>
      </c>
      <c r="P45" s="941">
        <f>P37/V11</f>
        <v>175607.53741640368</v>
      </c>
      <c r="Q45" s="941">
        <f t="shared" si="16"/>
        <v>-7640.7625835963117</v>
      </c>
      <c r="R45" s="942">
        <f t="shared" si="20"/>
        <v>-4.169622628748159E-2</v>
      </c>
      <c r="S45" s="1535" t="s">
        <v>1051</v>
      </c>
      <c r="T45" s="1434"/>
      <c r="U45" s="1434"/>
      <c r="V45" s="1434"/>
      <c r="W45" s="1434"/>
      <c r="X45" s="1434"/>
      <c r="Y45" s="1434"/>
      <c r="Z45" s="1434"/>
      <c r="AA45" s="1434"/>
      <c r="AB45" s="1434"/>
      <c r="AC45" s="1434"/>
      <c r="AD45" s="1434"/>
      <c r="AE45" s="1434"/>
      <c r="AF45" s="1434"/>
      <c r="AG45" s="1434"/>
      <c r="AH45" s="1435"/>
    </row>
    <row r="46" spans="1:34" ht="14.25" customHeight="1">
      <c r="A46" s="883">
        <v>36</v>
      </c>
      <c r="B46" s="884" t="s">
        <v>944</v>
      </c>
      <c r="C46" s="885" t="s">
        <v>1055</v>
      </c>
      <c r="D46" s="886" t="s">
        <v>930</v>
      </c>
      <c r="E46" s="886" t="s">
        <v>1056</v>
      </c>
      <c r="F46" s="886" t="s">
        <v>943</v>
      </c>
      <c r="G46" s="886" t="s">
        <v>940</v>
      </c>
      <c r="H46" s="887" t="s">
        <v>934</v>
      </c>
      <c r="I46" s="888">
        <v>17678.43</v>
      </c>
      <c r="J46" s="889" t="s">
        <v>935</v>
      </c>
      <c r="K46" s="890">
        <f>+I46*VLOOKUP(J46,'Factores Emisión EDGE'!$K$228:$L$230,2,FALSE)/1000</f>
        <v>5.3141360579999999</v>
      </c>
      <c r="L46" s="900">
        <f t="shared" si="0"/>
        <v>0.97281163369467005</v>
      </c>
      <c r="M46" s="445"/>
      <c r="N46" s="940" t="s">
        <v>1057</v>
      </c>
      <c r="O46" s="941">
        <f>O37/(O14+O15)</f>
        <v>28933.942105263159</v>
      </c>
      <c r="P46" s="941">
        <f>P37/(V14+V15)</f>
        <v>26868.912828739361</v>
      </c>
      <c r="Q46" s="941">
        <f t="shared" si="16"/>
        <v>-2065.0292765237973</v>
      </c>
      <c r="R46" s="942">
        <f t="shared" si="20"/>
        <v>-7.1370477932495874E-2</v>
      </c>
      <c r="S46" s="1543" t="s">
        <v>1051</v>
      </c>
      <c r="T46" s="1434"/>
      <c r="U46" s="1434"/>
      <c r="V46" s="1434"/>
      <c r="W46" s="1434"/>
      <c r="X46" s="1434"/>
      <c r="Y46" s="1434"/>
      <c r="Z46" s="1434"/>
      <c r="AA46" s="1434"/>
      <c r="AB46" s="1434"/>
      <c r="AC46" s="1434"/>
      <c r="AD46" s="1434"/>
      <c r="AE46" s="1434"/>
      <c r="AF46" s="1434"/>
      <c r="AG46" s="1434"/>
      <c r="AH46" s="1435"/>
    </row>
    <row r="47" spans="1:34" ht="50.25" customHeight="1">
      <c r="A47" s="883">
        <v>37</v>
      </c>
      <c r="B47" s="884" t="s">
        <v>944</v>
      </c>
      <c r="C47" s="885" t="s">
        <v>1058</v>
      </c>
      <c r="D47" s="886" t="s">
        <v>930</v>
      </c>
      <c r="E47" s="886" t="s">
        <v>1059</v>
      </c>
      <c r="F47" s="886" t="s">
        <v>943</v>
      </c>
      <c r="G47" s="886" t="s">
        <v>940</v>
      </c>
      <c r="H47" s="887" t="s">
        <v>934</v>
      </c>
      <c r="I47" s="888">
        <v>17640</v>
      </c>
      <c r="J47" s="889" t="s">
        <v>935</v>
      </c>
      <c r="K47" s="890">
        <f>+I47*VLOOKUP(J47,'Factores Emisión EDGE'!$K$228:$L$230,2,FALSE)/1000</f>
        <v>5.3025839999999995</v>
      </c>
      <c r="L47" s="900">
        <f t="shared" si="0"/>
        <v>0.97069690116000007</v>
      </c>
      <c r="M47" s="445"/>
      <c r="N47" s="936" t="s">
        <v>1060</v>
      </c>
      <c r="O47" s="937">
        <f>Q16+R16</f>
        <v>1894</v>
      </c>
      <c r="P47" s="937">
        <f>X16+Y16</f>
        <v>1343.7762879318313</v>
      </c>
      <c r="Q47" s="937">
        <f t="shared" si="16"/>
        <v>-550.22371206816865</v>
      </c>
      <c r="R47" s="938">
        <f t="shared" si="20"/>
        <v>-0.29050882368963499</v>
      </c>
      <c r="S47" s="1534" t="s">
        <v>1061</v>
      </c>
      <c r="T47" s="1434"/>
      <c r="U47" s="1434"/>
      <c r="V47" s="1434"/>
      <c r="W47" s="1434"/>
      <c r="X47" s="1434"/>
      <c r="Y47" s="1434"/>
      <c r="Z47" s="1434"/>
      <c r="AA47" s="1434"/>
      <c r="AB47" s="1434"/>
      <c r="AC47" s="1434"/>
      <c r="AD47" s="1434"/>
      <c r="AE47" s="1434"/>
      <c r="AF47" s="1434"/>
      <c r="AG47" s="1434"/>
      <c r="AH47" s="1435"/>
    </row>
    <row r="48" spans="1:34" ht="14.25" customHeight="1">
      <c r="A48" s="883">
        <v>38</v>
      </c>
      <c r="B48" s="884" t="s">
        <v>944</v>
      </c>
      <c r="C48" s="885" t="s">
        <v>1062</v>
      </c>
      <c r="D48" s="886" t="s">
        <v>965</v>
      </c>
      <c r="E48" s="886" t="s">
        <v>965</v>
      </c>
      <c r="F48" s="886" t="s">
        <v>1003</v>
      </c>
      <c r="G48" s="886" t="s">
        <v>940</v>
      </c>
      <c r="H48" s="887" t="s">
        <v>934</v>
      </c>
      <c r="I48" s="888">
        <v>17488.363636363636</v>
      </c>
      <c r="J48" s="889" t="s">
        <v>935</v>
      </c>
      <c r="K48" s="890">
        <f>+I48*VLOOKUP(J48,'Factores Emisión EDGE'!$K$228:$L$230,2,FALSE)/1000</f>
        <v>5.2570021090909087</v>
      </c>
      <c r="L48" s="900">
        <f t="shared" si="0"/>
        <v>0.9623526297152728</v>
      </c>
      <c r="M48" s="445"/>
      <c r="N48" s="936" t="s">
        <v>1063</v>
      </c>
      <c r="O48" s="939">
        <f>(Q16+R16)*1000/O4</f>
        <v>5.7492980635247048E-2</v>
      </c>
      <c r="P48" s="939">
        <f>(X16+Y16)*1000/O5</f>
        <v>7.0333296517274851E-2</v>
      </c>
      <c r="Q48" s="939">
        <f t="shared" si="16"/>
        <v>1.2840315882027803E-2</v>
      </c>
      <c r="R48" s="938">
        <f t="shared" si="20"/>
        <v>0.22333710550668215</v>
      </c>
      <c r="S48" s="1534" t="s">
        <v>1064</v>
      </c>
      <c r="T48" s="1434"/>
      <c r="U48" s="1434"/>
      <c r="V48" s="1434"/>
      <c r="W48" s="1434"/>
      <c r="X48" s="1434"/>
      <c r="Y48" s="1434"/>
      <c r="Z48" s="1434"/>
      <c r="AA48" s="1434"/>
      <c r="AB48" s="1434"/>
      <c r="AC48" s="1434"/>
      <c r="AD48" s="1434"/>
      <c r="AE48" s="1434"/>
      <c r="AF48" s="1434"/>
      <c r="AG48" s="1434"/>
      <c r="AH48" s="1435"/>
    </row>
    <row r="49" spans="1:18" ht="14.25" customHeight="1">
      <c r="A49" s="883">
        <v>39</v>
      </c>
      <c r="B49" s="884" t="s">
        <v>948</v>
      </c>
      <c r="C49" s="885" t="s">
        <v>1065</v>
      </c>
      <c r="D49" s="886" t="s">
        <v>930</v>
      </c>
      <c r="E49" s="886" t="s">
        <v>1056</v>
      </c>
      <c r="F49" s="886" t="s">
        <v>943</v>
      </c>
      <c r="G49" s="886" t="s">
        <v>940</v>
      </c>
      <c r="H49" s="887" t="s">
        <v>934</v>
      </c>
      <c r="I49" s="888">
        <v>17160</v>
      </c>
      <c r="J49" s="889" t="s">
        <v>935</v>
      </c>
      <c r="K49" s="890">
        <f>+I49*VLOOKUP(J49,'Factores Emisión EDGE'!$K$228:$L$230,2,FALSE)/1000</f>
        <v>5.1582959999999991</v>
      </c>
      <c r="L49" s="900">
        <f t="shared" si="0"/>
        <v>0.94428338004000001</v>
      </c>
      <c r="M49" s="445"/>
    </row>
    <row r="50" spans="1:18" ht="14.25" customHeight="1">
      <c r="A50" s="883">
        <v>40</v>
      </c>
      <c r="B50" s="884" t="s">
        <v>941</v>
      </c>
      <c r="C50" s="885" t="s">
        <v>1066</v>
      </c>
      <c r="D50" s="886" t="s">
        <v>991</v>
      </c>
      <c r="E50" s="886" t="s">
        <v>1067</v>
      </c>
      <c r="F50" s="886" t="s">
        <v>972</v>
      </c>
      <c r="G50" s="886" t="s">
        <v>940</v>
      </c>
      <c r="H50" s="887" t="s">
        <v>934</v>
      </c>
      <c r="I50" s="888">
        <v>17119</v>
      </c>
      <c r="J50" s="889" t="s">
        <v>935</v>
      </c>
      <c r="K50" s="890">
        <f>+I50*VLOOKUP(J50,'Factores Emisión EDGE'!$K$228:$L$230,2,FALSE)/1000</f>
        <v>5.1459713999999996</v>
      </c>
      <c r="L50" s="900">
        <f t="shared" si="0"/>
        <v>0.94202722511100001</v>
      </c>
      <c r="M50" s="445"/>
    </row>
    <row r="51" spans="1:18" ht="14.25" customHeight="1">
      <c r="A51" s="883">
        <v>41</v>
      </c>
      <c r="B51" s="884" t="s">
        <v>937</v>
      </c>
      <c r="C51" s="885" t="s">
        <v>1068</v>
      </c>
      <c r="D51" s="886" t="s">
        <v>930</v>
      </c>
      <c r="E51" s="886" t="s">
        <v>1056</v>
      </c>
      <c r="F51" s="886" t="s">
        <v>932</v>
      </c>
      <c r="G51" s="886" t="s">
        <v>940</v>
      </c>
      <c r="H51" s="887" t="s">
        <v>934</v>
      </c>
      <c r="I51" s="888">
        <v>16746.41</v>
      </c>
      <c r="J51" s="889" t="s">
        <v>935</v>
      </c>
      <c r="K51" s="890">
        <f>+I51*VLOOKUP(J51,'Factores Emisión EDGE'!$K$228:$L$230,2,FALSE)/1000</f>
        <v>5.033970845999999</v>
      </c>
      <c r="L51" s="900">
        <f t="shared" si="0"/>
        <v>0.92152427962328998</v>
      </c>
      <c r="M51" s="445"/>
      <c r="R51" s="486">
        <f>R37*O47</f>
        <v>-199.97447574925752</v>
      </c>
    </row>
    <row r="52" spans="1:18" ht="14.25" customHeight="1">
      <c r="A52" s="883">
        <v>42</v>
      </c>
      <c r="B52" s="884" t="s">
        <v>928</v>
      </c>
      <c r="C52" s="885" t="s">
        <v>1069</v>
      </c>
      <c r="D52" s="886" t="s">
        <v>1070</v>
      </c>
      <c r="E52" s="886" t="s">
        <v>1071</v>
      </c>
      <c r="F52" s="886" t="s">
        <v>961</v>
      </c>
      <c r="G52" s="886" t="s">
        <v>940</v>
      </c>
      <c r="H52" s="887" t="s">
        <v>934</v>
      </c>
      <c r="I52" s="888">
        <v>16461</v>
      </c>
      <c r="J52" s="889" t="s">
        <v>935</v>
      </c>
      <c r="K52" s="890">
        <f>+I52*VLOOKUP(J52,'Factores Emisión EDGE'!$K$228:$L$230,2,FALSE)/1000</f>
        <v>4.9481766</v>
      </c>
      <c r="L52" s="900">
        <f t="shared" si="0"/>
        <v>0.90581868990900005</v>
      </c>
      <c r="M52" s="445"/>
    </row>
    <row r="53" spans="1:18" ht="14.25" customHeight="1">
      <c r="A53" s="883">
        <v>43</v>
      </c>
      <c r="B53" s="884" t="s">
        <v>928</v>
      </c>
      <c r="C53" s="885" t="s">
        <v>1072</v>
      </c>
      <c r="D53" s="886" t="s">
        <v>1012</v>
      </c>
      <c r="E53" s="886" t="s">
        <v>1073</v>
      </c>
      <c r="F53" s="886" t="s">
        <v>972</v>
      </c>
      <c r="G53" s="886" t="s">
        <v>940</v>
      </c>
      <c r="H53" s="887" t="s">
        <v>934</v>
      </c>
      <c r="I53" s="888">
        <v>16159</v>
      </c>
      <c r="J53" s="889" t="s">
        <v>935</v>
      </c>
      <c r="K53" s="890">
        <f>+I53*VLOOKUP(J53,'Factores Emisión EDGE'!$K$228:$L$230,2,FALSE)/1000</f>
        <v>4.8573953999999997</v>
      </c>
      <c r="L53" s="900">
        <f t="shared" si="0"/>
        <v>0.889200182871</v>
      </c>
      <c r="M53" s="445"/>
    </row>
    <row r="54" spans="1:18" ht="14.25" customHeight="1">
      <c r="A54" s="883">
        <v>44</v>
      </c>
      <c r="B54" s="884" t="s">
        <v>944</v>
      </c>
      <c r="C54" s="885" t="s">
        <v>1074</v>
      </c>
      <c r="D54" s="886" t="s">
        <v>965</v>
      </c>
      <c r="E54" s="886" t="s">
        <v>965</v>
      </c>
      <c r="F54" s="886" t="s">
        <v>1003</v>
      </c>
      <c r="G54" s="886" t="s">
        <v>940</v>
      </c>
      <c r="H54" s="887" t="s">
        <v>934</v>
      </c>
      <c r="I54" s="888">
        <v>15647.716863687156</v>
      </c>
      <c r="J54" s="889" t="s">
        <v>935</v>
      </c>
      <c r="K54" s="890">
        <f>+I54*VLOOKUP(J54,'Factores Emisión EDGE'!$K$228:$L$230,2,FALSE)/1000</f>
        <v>4.7037036892243584</v>
      </c>
      <c r="L54" s="900">
        <f t="shared" si="0"/>
        <v>0.86106520803912678</v>
      </c>
      <c r="M54" s="445"/>
    </row>
    <row r="55" spans="1:18" ht="14.25" customHeight="1">
      <c r="A55" s="883">
        <v>45</v>
      </c>
      <c r="B55" s="884" t="s">
        <v>944</v>
      </c>
      <c r="C55" s="885" t="s">
        <v>1075</v>
      </c>
      <c r="D55" s="886" t="s">
        <v>970</v>
      </c>
      <c r="E55" s="886" t="s">
        <v>971</v>
      </c>
      <c r="F55" s="886" t="s">
        <v>993</v>
      </c>
      <c r="G55" s="886" t="s">
        <v>940</v>
      </c>
      <c r="H55" s="887" t="s">
        <v>934</v>
      </c>
      <c r="I55" s="888">
        <v>15548</v>
      </c>
      <c r="J55" s="889" t="s">
        <v>935</v>
      </c>
      <c r="K55" s="890">
        <f>+I55*VLOOKUP(J55,'Factores Emisión EDGE'!$K$228:$L$230,2,FALSE)/1000</f>
        <v>4.6737288000000001</v>
      </c>
      <c r="L55" s="900">
        <f t="shared" si="0"/>
        <v>0.85557797161200011</v>
      </c>
      <c r="M55" s="445"/>
    </row>
    <row r="56" spans="1:18" ht="14.25" customHeight="1">
      <c r="A56" s="883">
        <v>46</v>
      </c>
      <c r="B56" s="884" t="s">
        <v>948</v>
      </c>
      <c r="C56" s="885" t="s">
        <v>1076</v>
      </c>
      <c r="D56" s="886" t="s">
        <v>946</v>
      </c>
      <c r="E56" s="886" t="s">
        <v>979</v>
      </c>
      <c r="F56" s="886" t="s">
        <v>976</v>
      </c>
      <c r="G56" s="886" t="s">
        <v>940</v>
      </c>
      <c r="H56" s="887" t="s">
        <v>934</v>
      </c>
      <c r="I56" s="888">
        <v>15535</v>
      </c>
      <c r="J56" s="889" t="s">
        <v>935</v>
      </c>
      <c r="K56" s="890">
        <f>+I56*VLOOKUP(J56,'Factores Emisión EDGE'!$K$228:$L$230,2,FALSE)/1000</f>
        <v>4.6698209999999998</v>
      </c>
      <c r="L56" s="900">
        <f t="shared" si="0"/>
        <v>0.85486260541500003</v>
      </c>
      <c r="M56" s="445"/>
    </row>
    <row r="57" spans="1:18" ht="14.25" customHeight="1">
      <c r="A57" s="883">
        <v>47</v>
      </c>
      <c r="B57" s="884" t="s">
        <v>944</v>
      </c>
      <c r="C57" s="885" t="s">
        <v>1077</v>
      </c>
      <c r="D57" s="886" t="s">
        <v>954</v>
      </c>
      <c r="E57" s="886" t="s">
        <v>955</v>
      </c>
      <c r="F57" s="886" t="s">
        <v>1045</v>
      </c>
      <c r="G57" s="886" t="s">
        <v>940</v>
      </c>
      <c r="H57" s="887" t="s">
        <v>934</v>
      </c>
      <c r="I57" s="888">
        <v>15384</v>
      </c>
      <c r="J57" s="889" t="s">
        <v>935</v>
      </c>
      <c r="K57" s="890">
        <f>+I57*VLOOKUP(J57,'Factores Emisión EDGE'!$K$228:$L$230,2,FALSE)/1000</f>
        <v>4.6244303999999996</v>
      </c>
      <c r="L57" s="900">
        <f t="shared" si="0"/>
        <v>0.84655335189600001</v>
      </c>
      <c r="M57" s="445"/>
    </row>
    <row r="58" spans="1:18" ht="14.25" customHeight="1">
      <c r="A58" s="883">
        <v>48</v>
      </c>
      <c r="B58" s="884" t="s">
        <v>941</v>
      </c>
      <c r="C58" s="885" t="s">
        <v>1078</v>
      </c>
      <c r="D58" s="886" t="s">
        <v>930</v>
      </c>
      <c r="E58" s="886" t="s">
        <v>1053</v>
      </c>
      <c r="F58" s="886" t="s">
        <v>932</v>
      </c>
      <c r="G58" s="886" t="s">
        <v>940</v>
      </c>
      <c r="H58" s="887" t="s">
        <v>934</v>
      </c>
      <c r="I58" s="888">
        <v>15165.300000000001</v>
      </c>
      <c r="J58" s="889" t="s">
        <v>935</v>
      </c>
      <c r="K58" s="890">
        <f>+I58*VLOOKUP(J58,'Factores Emisión EDGE'!$K$228:$L$230,2,FALSE)/1000</f>
        <v>4.55868918</v>
      </c>
      <c r="L58" s="900">
        <f t="shared" si="0"/>
        <v>0.8345186913357</v>
      </c>
      <c r="M58" s="431"/>
      <c r="N58" s="450"/>
      <c r="O58" s="450"/>
      <c r="P58" s="450"/>
      <c r="Q58" s="450"/>
      <c r="R58" s="450"/>
    </row>
    <row r="59" spans="1:18" ht="14.25" customHeight="1">
      <c r="A59" s="883">
        <v>49</v>
      </c>
      <c r="B59" s="884" t="s">
        <v>928</v>
      </c>
      <c r="C59" s="885" t="s">
        <v>1079</v>
      </c>
      <c r="D59" s="886" t="s">
        <v>1043</v>
      </c>
      <c r="E59" s="886" t="s">
        <v>1044</v>
      </c>
      <c r="F59" s="886" t="s">
        <v>956</v>
      </c>
      <c r="G59" s="886" t="s">
        <v>940</v>
      </c>
      <c r="H59" s="887" t="s">
        <v>934</v>
      </c>
      <c r="I59" s="888">
        <v>15159</v>
      </c>
      <c r="J59" s="889" t="s">
        <v>980</v>
      </c>
      <c r="K59" s="890">
        <f>+I59*VLOOKUP(J59,'Factores Emisión EDGE'!$K$228:$L$230,2,FALSE)/1000</f>
        <v>8.9861288750000003</v>
      </c>
      <c r="L59" s="900">
        <f t="shared" si="0"/>
        <v>0.83417201387100004</v>
      </c>
      <c r="M59" s="431"/>
      <c r="N59" s="431"/>
      <c r="O59" s="431"/>
      <c r="P59" s="431"/>
      <c r="Q59" s="431"/>
      <c r="R59" s="431"/>
    </row>
    <row r="60" spans="1:18" ht="14.25" customHeight="1">
      <c r="A60" s="883">
        <v>50</v>
      </c>
      <c r="B60" s="884" t="s">
        <v>948</v>
      </c>
      <c r="C60" s="885" t="s">
        <v>1080</v>
      </c>
      <c r="D60" s="886" t="s">
        <v>991</v>
      </c>
      <c r="E60" s="886" t="s">
        <v>992</v>
      </c>
      <c r="F60" s="886" t="s">
        <v>993</v>
      </c>
      <c r="G60" s="886" t="s">
        <v>940</v>
      </c>
      <c r="H60" s="887" t="s">
        <v>934</v>
      </c>
      <c r="I60" s="888">
        <v>15024</v>
      </c>
      <c r="J60" s="889" t="s">
        <v>935</v>
      </c>
      <c r="K60" s="890">
        <f>+I60*VLOOKUP(J60,'Factores Emisión EDGE'!$K$228:$L$230,2,FALSE)/1000</f>
        <v>4.5162144</v>
      </c>
      <c r="L60" s="900">
        <f t="shared" si="0"/>
        <v>0.82674321105600002</v>
      </c>
      <c r="M60" s="431"/>
      <c r="N60" s="87"/>
      <c r="O60" s="431"/>
      <c r="P60" s="431"/>
      <c r="Q60" s="431"/>
      <c r="R60" s="431"/>
    </row>
    <row r="61" spans="1:18" ht="14.25" customHeight="1">
      <c r="A61" s="883">
        <v>51</v>
      </c>
      <c r="B61" s="884" t="s">
        <v>928</v>
      </c>
      <c r="C61" s="885" t="s">
        <v>1081</v>
      </c>
      <c r="D61" s="886" t="s">
        <v>946</v>
      </c>
      <c r="E61" s="886" t="s">
        <v>1082</v>
      </c>
      <c r="F61" s="886" t="s">
        <v>976</v>
      </c>
      <c r="G61" s="886" t="s">
        <v>940</v>
      </c>
      <c r="H61" s="887" t="s">
        <v>934</v>
      </c>
      <c r="I61" s="888">
        <v>14911.53</v>
      </c>
      <c r="J61" s="889" t="s">
        <v>935</v>
      </c>
      <c r="K61" s="890">
        <f>+I61*VLOOKUP(J61,'Factores Emisión EDGE'!$K$228:$L$230,2,FALSE)/1000</f>
        <v>4.4824059179999995</v>
      </c>
      <c r="L61" s="900">
        <f t="shared" si="0"/>
        <v>0.82055419288857001</v>
      </c>
      <c r="M61" s="431"/>
      <c r="N61" s="87"/>
      <c r="O61" s="431"/>
      <c r="P61" s="431"/>
      <c r="Q61" s="431"/>
      <c r="R61" s="431"/>
    </row>
    <row r="62" spans="1:18" ht="14.25" customHeight="1">
      <c r="A62" s="883">
        <v>52</v>
      </c>
      <c r="B62" s="884" t="s">
        <v>937</v>
      </c>
      <c r="C62" s="885" t="s">
        <v>1083</v>
      </c>
      <c r="D62" s="886" t="s">
        <v>930</v>
      </c>
      <c r="E62" s="886" t="s">
        <v>986</v>
      </c>
      <c r="F62" s="886" t="s">
        <v>932</v>
      </c>
      <c r="G62" s="886" t="s">
        <v>940</v>
      </c>
      <c r="H62" s="887" t="s">
        <v>934</v>
      </c>
      <c r="I62" s="888">
        <v>14738.039999999999</v>
      </c>
      <c r="J62" s="889" t="s">
        <v>935</v>
      </c>
      <c r="K62" s="890">
        <f>+I62*VLOOKUP(J62,'Factores Emisión EDGE'!$K$228:$L$230,2,FALSE)/1000</f>
        <v>4.4302548239999995</v>
      </c>
      <c r="L62" s="900">
        <f t="shared" si="0"/>
        <v>0.81100735584875994</v>
      </c>
      <c r="M62" s="431"/>
      <c r="N62" s="87"/>
      <c r="O62" s="431"/>
      <c r="P62" s="431"/>
      <c r="Q62" s="431"/>
      <c r="R62" s="431"/>
    </row>
    <row r="63" spans="1:18" ht="14.25" customHeight="1">
      <c r="A63" s="883">
        <v>53</v>
      </c>
      <c r="B63" s="884" t="s">
        <v>948</v>
      </c>
      <c r="C63" s="885" t="s">
        <v>1084</v>
      </c>
      <c r="D63" s="886" t="s">
        <v>954</v>
      </c>
      <c r="E63" s="886" t="s">
        <v>955</v>
      </c>
      <c r="F63" s="886" t="s">
        <v>1045</v>
      </c>
      <c r="G63" s="886" t="s">
        <v>940</v>
      </c>
      <c r="H63" s="887" t="s">
        <v>934</v>
      </c>
      <c r="I63" s="888">
        <v>14668.363636363636</v>
      </c>
      <c r="J63" s="889" t="s">
        <v>935</v>
      </c>
      <c r="K63" s="890">
        <f>+I63*VLOOKUP(J63,'Factores Emisión EDGE'!$K$228:$L$230,2,FALSE)/1000</f>
        <v>4.4093101090909084</v>
      </c>
      <c r="L63" s="900">
        <f t="shared" si="0"/>
        <v>0.8071731931352728</v>
      </c>
      <c r="M63" s="431"/>
      <c r="N63" s="87"/>
      <c r="O63" s="431"/>
      <c r="P63" s="431"/>
      <c r="Q63" s="431"/>
      <c r="R63" s="431"/>
    </row>
    <row r="64" spans="1:18" ht="14.25" customHeight="1">
      <c r="A64" s="883">
        <v>54</v>
      </c>
      <c r="B64" s="884" t="s">
        <v>937</v>
      </c>
      <c r="C64" s="885" t="s">
        <v>1085</v>
      </c>
      <c r="D64" s="886" t="s">
        <v>930</v>
      </c>
      <c r="E64" s="886" t="s">
        <v>1086</v>
      </c>
      <c r="F64" s="886" t="s">
        <v>932</v>
      </c>
      <c r="G64" s="886" t="s">
        <v>940</v>
      </c>
      <c r="H64" s="887" t="s">
        <v>934</v>
      </c>
      <c r="I64" s="888">
        <v>14602.41</v>
      </c>
      <c r="J64" s="889" t="s">
        <v>935</v>
      </c>
      <c r="K64" s="890">
        <f>+I64*VLOOKUP(J64,'Factores Emisión EDGE'!$K$228:$L$230,2,FALSE)/1000</f>
        <v>4.3894844459999991</v>
      </c>
      <c r="L64" s="900">
        <f t="shared" si="0"/>
        <v>0.80354388528728993</v>
      </c>
      <c r="M64" s="431"/>
      <c r="N64" s="87"/>
      <c r="O64" s="431"/>
      <c r="P64" s="431"/>
      <c r="Q64" s="431"/>
      <c r="R64" s="431"/>
    </row>
    <row r="65" spans="1:12" ht="14.25" customHeight="1">
      <c r="A65" s="883">
        <v>55</v>
      </c>
      <c r="B65" s="884" t="s">
        <v>948</v>
      </c>
      <c r="C65" s="885" t="s">
        <v>1086</v>
      </c>
      <c r="D65" s="886" t="s">
        <v>930</v>
      </c>
      <c r="E65" s="886" t="s">
        <v>1086</v>
      </c>
      <c r="F65" s="886" t="s">
        <v>943</v>
      </c>
      <c r="G65" s="886" t="s">
        <v>940</v>
      </c>
      <c r="H65" s="887" t="s">
        <v>934</v>
      </c>
      <c r="I65" s="888">
        <v>14602.41</v>
      </c>
      <c r="J65" s="889" t="s">
        <v>935</v>
      </c>
      <c r="K65" s="890">
        <f>+I65*VLOOKUP(J65,'Factores Emisión EDGE'!$K$228:$L$230,2,FALSE)/1000</f>
        <v>4.3894844459999991</v>
      </c>
      <c r="L65" s="900">
        <f t="shared" si="0"/>
        <v>0.80354388528728993</v>
      </c>
    </row>
    <row r="66" spans="1:12" ht="14.25" customHeight="1">
      <c r="A66" s="883">
        <v>56</v>
      </c>
      <c r="B66" s="884" t="s">
        <v>944</v>
      </c>
      <c r="C66" s="885" t="s">
        <v>1087</v>
      </c>
      <c r="D66" s="886" t="s">
        <v>954</v>
      </c>
      <c r="E66" s="886" t="s">
        <v>1049</v>
      </c>
      <c r="F66" s="886" t="s">
        <v>1045</v>
      </c>
      <c r="G66" s="886" t="s">
        <v>940</v>
      </c>
      <c r="H66" s="887" t="s">
        <v>934</v>
      </c>
      <c r="I66" s="888">
        <v>13880</v>
      </c>
      <c r="J66" s="889" t="s">
        <v>935</v>
      </c>
      <c r="K66" s="890">
        <f>+I66*VLOOKUP(J66,'Factores Emisión EDGE'!$K$228:$L$230,2,FALSE)/1000</f>
        <v>4.1723279999999994</v>
      </c>
      <c r="L66" s="900">
        <f t="shared" si="0"/>
        <v>0.76379098571999993</v>
      </c>
    </row>
    <row r="67" spans="1:12" ht="14.25" customHeight="1">
      <c r="A67" s="883">
        <v>57</v>
      </c>
      <c r="B67" s="884" t="s">
        <v>948</v>
      </c>
      <c r="C67" s="885" t="s">
        <v>1088</v>
      </c>
      <c r="D67" s="886" t="s">
        <v>930</v>
      </c>
      <c r="E67" s="886" t="s">
        <v>1053</v>
      </c>
      <c r="F67" s="886" t="s">
        <v>943</v>
      </c>
      <c r="G67" s="886" t="s">
        <v>940</v>
      </c>
      <c r="H67" s="887" t="s">
        <v>934</v>
      </c>
      <c r="I67" s="888">
        <v>13470.972493034966</v>
      </c>
      <c r="J67" s="889" t="s">
        <v>935</v>
      </c>
      <c r="K67" s="890">
        <f>+I67*VLOOKUP(J67,'Factores Emisión EDGE'!$K$228:$L$230,2,FALSE)/1000</f>
        <v>4.0493743314063106</v>
      </c>
      <c r="L67" s="900">
        <f t="shared" si="0"/>
        <v>0.74128295094107943</v>
      </c>
    </row>
    <row r="68" spans="1:12" ht="14.25" customHeight="1">
      <c r="A68" s="883">
        <v>58</v>
      </c>
      <c r="B68" s="884" t="s">
        <v>948</v>
      </c>
      <c r="C68" s="885" t="s">
        <v>1089</v>
      </c>
      <c r="D68" s="886" t="s">
        <v>930</v>
      </c>
      <c r="E68" s="886" t="s">
        <v>1090</v>
      </c>
      <c r="F68" s="886" t="s">
        <v>943</v>
      </c>
      <c r="G68" s="886" t="s">
        <v>940</v>
      </c>
      <c r="H68" s="887" t="s">
        <v>934</v>
      </c>
      <c r="I68" s="888">
        <v>13407.289972139857</v>
      </c>
      <c r="J68" s="889" t="s">
        <v>935</v>
      </c>
      <c r="K68" s="890">
        <f>+I68*VLOOKUP(J68,'Factores Emisión EDGE'!$K$228:$L$230,2,FALSE)/1000</f>
        <v>4.0302313656252409</v>
      </c>
      <c r="L68" s="900">
        <f t="shared" si="0"/>
        <v>0.73777861841891745</v>
      </c>
    </row>
    <row r="69" spans="1:12" ht="14.25" customHeight="1">
      <c r="A69" s="883">
        <v>59</v>
      </c>
      <c r="B69" s="884" t="s">
        <v>944</v>
      </c>
      <c r="C69" s="885" t="s">
        <v>1091</v>
      </c>
      <c r="D69" s="886" t="s">
        <v>1039</v>
      </c>
      <c r="E69" s="886" t="s">
        <v>1092</v>
      </c>
      <c r="F69" s="886" t="s">
        <v>947</v>
      </c>
      <c r="G69" s="886" t="s">
        <v>940</v>
      </c>
      <c r="H69" s="887" t="s">
        <v>934</v>
      </c>
      <c r="I69" s="888">
        <v>13342.750467144229</v>
      </c>
      <c r="J69" s="889" t="s">
        <v>935</v>
      </c>
      <c r="K69" s="890">
        <f>+I69*VLOOKUP(J69,'Factores Emisión EDGE'!$K$228:$L$230,2,FALSE)/1000</f>
        <v>4.0108307904235545</v>
      </c>
      <c r="L69" s="900">
        <f t="shared" si="0"/>
        <v>0.73422712763084164</v>
      </c>
    </row>
    <row r="70" spans="1:12" ht="14.25" customHeight="1">
      <c r="A70" s="883">
        <v>60</v>
      </c>
      <c r="B70" s="884" t="s">
        <v>948</v>
      </c>
      <c r="C70" s="885" t="s">
        <v>1093</v>
      </c>
      <c r="D70" s="886" t="s">
        <v>1017</v>
      </c>
      <c r="E70" s="886" t="s">
        <v>1094</v>
      </c>
      <c r="F70" s="886" t="s">
        <v>1010</v>
      </c>
      <c r="G70" s="886" t="s">
        <v>940</v>
      </c>
      <c r="H70" s="887" t="s">
        <v>934</v>
      </c>
      <c r="I70" s="888">
        <v>13316</v>
      </c>
      <c r="J70" s="889" t="s">
        <v>935</v>
      </c>
      <c r="K70" s="890">
        <f>+I70*VLOOKUP(J70,'Factores Emisión EDGE'!$K$228:$L$230,2,FALSE)/1000</f>
        <v>4.0027895999999998</v>
      </c>
      <c r="L70" s="900">
        <f t="shared" si="0"/>
        <v>0.73275509840399999</v>
      </c>
    </row>
    <row r="71" spans="1:12" ht="14.25" customHeight="1">
      <c r="A71" s="883">
        <v>61</v>
      </c>
      <c r="B71" s="884" t="s">
        <v>937</v>
      </c>
      <c r="C71" s="885" t="s">
        <v>1095</v>
      </c>
      <c r="D71" s="886" t="s">
        <v>1039</v>
      </c>
      <c r="E71" s="886" t="s">
        <v>1096</v>
      </c>
      <c r="F71" s="886" t="s">
        <v>1097</v>
      </c>
      <c r="G71" s="886" t="s">
        <v>940</v>
      </c>
      <c r="H71" s="887" t="s">
        <v>934</v>
      </c>
      <c r="I71" s="888">
        <v>13285.403267869422</v>
      </c>
      <c r="J71" s="889" t="s">
        <v>935</v>
      </c>
      <c r="K71" s="890">
        <f>+I71*VLOOKUP(J71,'Factores Emisión EDGE'!$K$228:$L$230,2,FALSE)/1000</f>
        <v>3.9935922223215479</v>
      </c>
      <c r="L71" s="900">
        <f t="shared" si="0"/>
        <v>0.73107141625747085</v>
      </c>
    </row>
    <row r="72" spans="1:12" ht="14.25" customHeight="1">
      <c r="A72" s="883">
        <v>62</v>
      </c>
      <c r="B72" s="884" t="s">
        <v>944</v>
      </c>
      <c r="C72" s="885" t="s">
        <v>1098</v>
      </c>
      <c r="D72" s="886" t="s">
        <v>930</v>
      </c>
      <c r="E72" s="886" t="s">
        <v>931</v>
      </c>
      <c r="F72" s="886" t="s">
        <v>943</v>
      </c>
      <c r="G72" s="886" t="s">
        <v>940</v>
      </c>
      <c r="H72" s="887" t="s">
        <v>934</v>
      </c>
      <c r="I72" s="888">
        <v>12744</v>
      </c>
      <c r="J72" s="889" t="s">
        <v>935</v>
      </c>
      <c r="K72" s="890">
        <f>+I72*VLOOKUP(J72,'Factores Emisión EDGE'!$K$228:$L$230,2,FALSE)/1000</f>
        <v>3.8308464</v>
      </c>
      <c r="L72" s="900">
        <f t="shared" si="0"/>
        <v>0.701278985736</v>
      </c>
    </row>
    <row r="73" spans="1:12" ht="14.25" customHeight="1">
      <c r="A73" s="883">
        <v>63</v>
      </c>
      <c r="B73" s="884" t="s">
        <v>948</v>
      </c>
      <c r="C73" s="885" t="s">
        <v>1099</v>
      </c>
      <c r="D73" s="886" t="s">
        <v>930</v>
      </c>
      <c r="E73" s="886" t="s">
        <v>1099</v>
      </c>
      <c r="F73" s="886" t="s">
        <v>943</v>
      </c>
      <c r="G73" s="886" t="s">
        <v>940</v>
      </c>
      <c r="H73" s="887" t="s">
        <v>934</v>
      </c>
      <c r="I73" s="888">
        <v>12744</v>
      </c>
      <c r="J73" s="889" t="s">
        <v>935</v>
      </c>
      <c r="K73" s="890">
        <f>+I73*VLOOKUP(J73,'Factores Emisión EDGE'!$K$228:$L$230,2,FALSE)/1000</f>
        <v>3.8308464</v>
      </c>
      <c r="L73" s="900">
        <f t="shared" si="0"/>
        <v>0.701278985736</v>
      </c>
    </row>
    <row r="74" spans="1:12" ht="14.25" customHeight="1">
      <c r="A74" s="883">
        <v>64</v>
      </c>
      <c r="B74" s="884" t="s">
        <v>937</v>
      </c>
      <c r="C74" s="885" t="s">
        <v>1100</v>
      </c>
      <c r="D74" s="886" t="s">
        <v>954</v>
      </c>
      <c r="E74" s="886" t="s">
        <v>1101</v>
      </c>
      <c r="F74" s="886" t="s">
        <v>1045</v>
      </c>
      <c r="G74" s="886" t="s">
        <v>940</v>
      </c>
      <c r="H74" s="887" t="s">
        <v>934</v>
      </c>
      <c r="I74" s="888">
        <v>12713.454545454546</v>
      </c>
      <c r="J74" s="889" t="s">
        <v>935</v>
      </c>
      <c r="K74" s="890">
        <f>+I74*VLOOKUP(J74,'Factores Emisión EDGE'!$K$228:$L$230,2,FALSE)/1000</f>
        <v>3.8216644363636361</v>
      </c>
      <c r="L74" s="900">
        <f t="shared" si="0"/>
        <v>0.69959812530109089</v>
      </c>
    </row>
    <row r="75" spans="1:12" ht="14.25" customHeight="1">
      <c r="A75" s="883">
        <v>65</v>
      </c>
      <c r="B75" s="884" t="s">
        <v>928</v>
      </c>
      <c r="C75" s="885" t="s">
        <v>1102</v>
      </c>
      <c r="D75" s="886" t="s">
        <v>950</v>
      </c>
      <c r="E75" s="886" t="s">
        <v>1103</v>
      </c>
      <c r="F75" s="886" t="s">
        <v>952</v>
      </c>
      <c r="G75" s="886" t="s">
        <v>940</v>
      </c>
      <c r="H75" s="887" t="s">
        <v>934</v>
      </c>
      <c r="I75" s="888">
        <v>12691.583244445592</v>
      </c>
      <c r="J75" s="889" t="s">
        <v>935</v>
      </c>
      <c r="K75" s="890">
        <f>+I75*VLOOKUP(J75,'Factores Emisión EDGE'!$K$228:$L$230,2,FALSE)/1000</f>
        <v>3.8150899232803446</v>
      </c>
      <c r="L75" s="900">
        <f t="shared" si="0"/>
        <v>0.69839458765292028</v>
      </c>
    </row>
    <row r="76" spans="1:12" ht="14.25" customHeight="1">
      <c r="A76" s="883">
        <v>66</v>
      </c>
      <c r="B76" s="884" t="s">
        <v>948</v>
      </c>
      <c r="C76" s="885" t="s">
        <v>1104</v>
      </c>
      <c r="D76" s="886" t="s">
        <v>930</v>
      </c>
      <c r="E76" s="886" t="s">
        <v>1059</v>
      </c>
      <c r="F76" s="886" t="s">
        <v>943</v>
      </c>
      <c r="G76" s="886" t="s">
        <v>940</v>
      </c>
      <c r="H76" s="887" t="s">
        <v>934</v>
      </c>
      <c r="I76" s="888">
        <v>12492</v>
      </c>
      <c r="J76" s="889" t="s">
        <v>935</v>
      </c>
      <c r="K76" s="890">
        <f>+I76*VLOOKUP(J76,'Factores Emisión EDGE'!$K$228:$L$230,2,FALSE)/1000</f>
        <v>3.7550952</v>
      </c>
      <c r="L76" s="900">
        <f t="shared" si="0"/>
        <v>0.68741188714800006</v>
      </c>
    </row>
    <row r="77" spans="1:12" ht="14.25" customHeight="1">
      <c r="A77" s="883">
        <v>67</v>
      </c>
      <c r="B77" s="884" t="s">
        <v>948</v>
      </c>
      <c r="C77" s="885" t="s">
        <v>1105</v>
      </c>
      <c r="D77" s="886" t="s">
        <v>930</v>
      </c>
      <c r="E77" s="886" t="s">
        <v>1059</v>
      </c>
      <c r="F77" s="886" t="s">
        <v>943</v>
      </c>
      <c r="G77" s="886" t="s">
        <v>940</v>
      </c>
      <c r="H77" s="887" t="s">
        <v>934</v>
      </c>
      <c r="I77" s="888">
        <v>12428.359999999999</v>
      </c>
      <c r="J77" s="889" t="s">
        <v>935</v>
      </c>
      <c r="K77" s="890">
        <f>+I77*VLOOKUP(J77,'Factores Emisión EDGE'!$K$228:$L$230,2,FALSE)/1000</f>
        <v>3.7359650159999993</v>
      </c>
      <c r="L77" s="900">
        <f t="shared" si="0"/>
        <v>0.6839098944728399</v>
      </c>
    </row>
    <row r="78" spans="1:12" ht="14.25" customHeight="1">
      <c r="A78" s="883">
        <v>68</v>
      </c>
      <c r="B78" s="884" t="s">
        <v>948</v>
      </c>
      <c r="C78" s="885" t="s">
        <v>1106</v>
      </c>
      <c r="D78" s="886" t="s">
        <v>930</v>
      </c>
      <c r="E78" s="886" t="s">
        <v>1107</v>
      </c>
      <c r="F78" s="886" t="s">
        <v>943</v>
      </c>
      <c r="G78" s="886" t="s">
        <v>940</v>
      </c>
      <c r="H78" s="887" t="s">
        <v>934</v>
      </c>
      <c r="I78" s="888">
        <v>12042.869999999999</v>
      </c>
      <c r="J78" s="889" t="s">
        <v>935</v>
      </c>
      <c r="K78" s="890">
        <f>+I78*VLOOKUP(J78,'Factores Emisión EDGE'!$K$228:$L$230,2,FALSE)/1000</f>
        <v>3.6200867219999995</v>
      </c>
      <c r="L78" s="900">
        <f t="shared" si="0"/>
        <v>0.66269708560503005</v>
      </c>
    </row>
    <row r="79" spans="1:12" ht="14.25" customHeight="1">
      <c r="A79" s="883">
        <v>69</v>
      </c>
      <c r="B79" s="884" t="s">
        <v>944</v>
      </c>
      <c r="C79" s="885" t="s">
        <v>1108</v>
      </c>
      <c r="D79" s="886" t="s">
        <v>930</v>
      </c>
      <c r="E79" s="886" t="s">
        <v>1056</v>
      </c>
      <c r="F79" s="886" t="s">
        <v>943</v>
      </c>
      <c r="G79" s="886" t="s">
        <v>940</v>
      </c>
      <c r="H79" s="887" t="s">
        <v>934</v>
      </c>
      <c r="I79" s="888">
        <v>11917.019999999999</v>
      </c>
      <c r="J79" s="889" t="s">
        <v>935</v>
      </c>
      <c r="K79" s="890">
        <f>+I79*VLOOKUP(J79,'Factores Emisión EDGE'!$K$228:$L$230,2,FALSE)/1000</f>
        <v>3.5822562119999994</v>
      </c>
      <c r="L79" s="900">
        <f t="shared" si="0"/>
        <v>0.65577179053638002</v>
      </c>
    </row>
    <row r="80" spans="1:12" ht="14.25" customHeight="1">
      <c r="A80" s="883">
        <v>70</v>
      </c>
      <c r="B80" s="884" t="s">
        <v>944</v>
      </c>
      <c r="C80" s="885" t="s">
        <v>1109</v>
      </c>
      <c r="D80" s="886" t="s">
        <v>1012</v>
      </c>
      <c r="E80" s="886" t="s">
        <v>1109</v>
      </c>
      <c r="F80" s="886" t="s">
        <v>993</v>
      </c>
      <c r="G80" s="886" t="s">
        <v>940</v>
      </c>
      <c r="H80" s="887" t="s">
        <v>934</v>
      </c>
      <c r="I80" s="888">
        <v>11916</v>
      </c>
      <c r="J80" s="889" t="s">
        <v>935</v>
      </c>
      <c r="K80" s="890">
        <f>+I80*VLOOKUP(J80,'Factores Emisión EDGE'!$K$228:$L$230,2,FALSE)/1000</f>
        <v>3.5819495999999997</v>
      </c>
      <c r="L80" s="900">
        <f t="shared" si="0"/>
        <v>0.65571566180399998</v>
      </c>
    </row>
    <row r="81" spans="1:12" ht="14.25" customHeight="1">
      <c r="A81" s="883">
        <v>71</v>
      </c>
      <c r="B81" s="884" t="s">
        <v>948</v>
      </c>
      <c r="C81" s="885" t="s">
        <v>1110</v>
      </c>
      <c r="D81" s="886" t="s">
        <v>954</v>
      </c>
      <c r="E81" s="886" t="s">
        <v>1006</v>
      </c>
      <c r="F81" s="886" t="s">
        <v>1045</v>
      </c>
      <c r="G81" s="886" t="s">
        <v>940</v>
      </c>
      <c r="H81" s="887" t="s">
        <v>934</v>
      </c>
      <c r="I81" s="888">
        <v>11904</v>
      </c>
      <c r="J81" s="889" t="s">
        <v>935</v>
      </c>
      <c r="K81" s="890">
        <f>+I81*VLOOKUP(J81,'Factores Emisión EDGE'!$K$228:$L$230,2,FALSE)/1000</f>
        <v>3.5783423999999995</v>
      </c>
      <c r="L81" s="900">
        <f t="shared" si="0"/>
        <v>0.65505532377600006</v>
      </c>
    </row>
    <row r="82" spans="1:12" ht="14.25" customHeight="1">
      <c r="A82" s="883">
        <v>72</v>
      </c>
      <c r="B82" s="884" t="s">
        <v>928</v>
      </c>
      <c r="C82" s="885" t="s">
        <v>1111</v>
      </c>
      <c r="D82" s="886" t="s">
        <v>1112</v>
      </c>
      <c r="E82" s="886" t="s">
        <v>1113</v>
      </c>
      <c r="F82" s="886" t="s">
        <v>956</v>
      </c>
      <c r="G82" s="886" t="s">
        <v>940</v>
      </c>
      <c r="H82" s="887" t="s">
        <v>934</v>
      </c>
      <c r="I82" s="888">
        <v>11765</v>
      </c>
      <c r="J82" s="889" t="s">
        <v>977</v>
      </c>
      <c r="K82" s="890">
        <f>+I82*VLOOKUP(J82,'Factores Emisión EDGE'!$K$228:$L$230,2,FALSE)/1000</f>
        <v>8.5237425000000009</v>
      </c>
      <c r="L82" s="900">
        <f t="shared" si="0"/>
        <v>0.64740640828499996</v>
      </c>
    </row>
    <row r="83" spans="1:12" ht="14.25" customHeight="1">
      <c r="A83" s="883">
        <v>73</v>
      </c>
      <c r="B83" s="884" t="s">
        <v>948</v>
      </c>
      <c r="C83" s="885" t="s">
        <v>1114</v>
      </c>
      <c r="D83" s="886" t="s">
        <v>991</v>
      </c>
      <c r="E83" s="886" t="s">
        <v>1021</v>
      </c>
      <c r="F83" s="886" t="s">
        <v>993</v>
      </c>
      <c r="G83" s="886" t="s">
        <v>940</v>
      </c>
      <c r="H83" s="887" t="s">
        <v>934</v>
      </c>
      <c r="I83" s="888">
        <v>11274</v>
      </c>
      <c r="J83" s="889" t="s">
        <v>935</v>
      </c>
      <c r="K83" s="890">
        <f>+I83*VLOOKUP(J83,'Factores Emisión EDGE'!$K$228:$L$230,2,FALSE)/1000</f>
        <v>3.3889643999999999</v>
      </c>
      <c r="L83" s="900">
        <f t="shared" si="0"/>
        <v>0.62038757730600003</v>
      </c>
    </row>
    <row r="84" spans="1:12" ht="14.25" customHeight="1">
      <c r="A84" s="883">
        <v>74</v>
      </c>
      <c r="B84" s="884" t="s">
        <v>928</v>
      </c>
      <c r="C84" s="885" t="s">
        <v>1115</v>
      </c>
      <c r="D84" s="946" t="s">
        <v>991</v>
      </c>
      <c r="E84" s="886" t="s">
        <v>992</v>
      </c>
      <c r="F84" s="886" t="s">
        <v>1010</v>
      </c>
      <c r="G84" s="886" t="s">
        <v>940</v>
      </c>
      <c r="H84" s="887" t="s">
        <v>934</v>
      </c>
      <c r="I84" s="888">
        <v>10896</v>
      </c>
      <c r="J84" s="889" t="s">
        <v>935</v>
      </c>
      <c r="K84" s="890">
        <f>+I84*VLOOKUP(J84,'Factores Emisión EDGE'!$K$228:$L$230,2,FALSE)/1000</f>
        <v>3.2753375999999998</v>
      </c>
      <c r="L84" s="900">
        <f t="shared" si="0"/>
        <v>0.59958692942400005</v>
      </c>
    </row>
    <row r="85" spans="1:12" ht="14.25" customHeight="1">
      <c r="A85" s="883">
        <v>75</v>
      </c>
      <c r="B85" s="884" t="s">
        <v>944</v>
      </c>
      <c r="C85" s="885" t="s">
        <v>1116</v>
      </c>
      <c r="D85" s="886" t="s">
        <v>1039</v>
      </c>
      <c r="E85" s="886" t="s">
        <v>1092</v>
      </c>
      <c r="F85" s="886" t="s">
        <v>947</v>
      </c>
      <c r="G85" s="886" t="s">
        <v>940</v>
      </c>
      <c r="H85" s="887" t="s">
        <v>934</v>
      </c>
      <c r="I85" s="888">
        <v>10752</v>
      </c>
      <c r="J85" s="889" t="s">
        <v>935</v>
      </c>
      <c r="K85" s="890">
        <f>+I85*VLOOKUP(J85,'Factores Emisión EDGE'!$K$228:$L$230,2,FALSE)/1000</f>
        <v>3.2320511999999999</v>
      </c>
      <c r="L85" s="900">
        <f t="shared" si="0"/>
        <v>0.59166287308799992</v>
      </c>
    </row>
    <row r="86" spans="1:12" ht="14.25" customHeight="1">
      <c r="A86" s="883">
        <v>76</v>
      </c>
      <c r="B86" s="884" t="s">
        <v>948</v>
      </c>
      <c r="C86" s="885" t="s">
        <v>1117</v>
      </c>
      <c r="D86" s="886" t="s">
        <v>1017</v>
      </c>
      <c r="E86" s="886" t="s">
        <v>1094</v>
      </c>
      <c r="F86" s="886" t="s">
        <v>1010</v>
      </c>
      <c r="G86" s="886" t="s">
        <v>940</v>
      </c>
      <c r="H86" s="887" t="s">
        <v>934</v>
      </c>
      <c r="I86" s="888">
        <v>10742</v>
      </c>
      <c r="J86" s="889" t="s">
        <v>935</v>
      </c>
      <c r="K86" s="890">
        <f>+I86*VLOOKUP(J86,'Factores Emisión EDGE'!$K$228:$L$230,2,FALSE)/1000</f>
        <v>3.2290451999999994</v>
      </c>
      <c r="L86" s="900">
        <f t="shared" si="0"/>
        <v>0.5911125913980001</v>
      </c>
    </row>
    <row r="87" spans="1:12" ht="14.25" customHeight="1">
      <c r="A87" s="883">
        <v>77</v>
      </c>
      <c r="B87" s="884" t="s">
        <v>944</v>
      </c>
      <c r="C87" s="885" t="s">
        <v>1118</v>
      </c>
      <c r="D87" s="886" t="s">
        <v>930</v>
      </c>
      <c r="E87" s="886" t="s">
        <v>1056</v>
      </c>
      <c r="F87" s="886" t="s">
        <v>943</v>
      </c>
      <c r="G87" s="886" t="s">
        <v>940</v>
      </c>
      <c r="H87" s="887" t="s">
        <v>934</v>
      </c>
      <c r="I87" s="888">
        <v>10724.500000000002</v>
      </c>
      <c r="J87" s="889" t="s">
        <v>935</v>
      </c>
      <c r="K87" s="890">
        <f>+I87*VLOOKUP(J87,'Factores Emisión EDGE'!$K$228:$L$230,2,FALSE)/1000</f>
        <v>3.2237846999999999</v>
      </c>
      <c r="L87" s="900">
        <f t="shared" si="0"/>
        <v>0.59014959844050008</v>
      </c>
    </row>
    <row r="88" spans="1:12" ht="14.25" customHeight="1">
      <c r="A88" s="883">
        <v>78</v>
      </c>
      <c r="B88" s="884" t="s">
        <v>948</v>
      </c>
      <c r="C88" s="885" t="s">
        <v>1119</v>
      </c>
      <c r="D88" s="886" t="s">
        <v>930</v>
      </c>
      <c r="E88" s="886" t="s">
        <v>1120</v>
      </c>
      <c r="F88" s="886" t="s">
        <v>943</v>
      </c>
      <c r="G88" s="886" t="s">
        <v>940</v>
      </c>
      <c r="H88" s="887" t="s">
        <v>934</v>
      </c>
      <c r="I88" s="888">
        <v>10704</v>
      </c>
      <c r="J88" s="889" t="s">
        <v>935</v>
      </c>
      <c r="K88" s="890">
        <f>+I88*VLOOKUP(J88,'Factores Emisión EDGE'!$K$228:$L$230,2,FALSE)/1000</f>
        <v>3.2176223999999998</v>
      </c>
      <c r="L88" s="900">
        <f t="shared" si="0"/>
        <v>0.58902152097600002</v>
      </c>
    </row>
    <row r="89" spans="1:12" ht="14.25" customHeight="1">
      <c r="A89" s="883">
        <v>79</v>
      </c>
      <c r="B89" s="884" t="s">
        <v>948</v>
      </c>
      <c r="C89" s="885" t="s">
        <v>1121</v>
      </c>
      <c r="D89" s="886" t="s">
        <v>930</v>
      </c>
      <c r="E89" s="886" t="s">
        <v>1122</v>
      </c>
      <c r="F89" s="886" t="s">
        <v>943</v>
      </c>
      <c r="G89" s="886" t="s">
        <v>940</v>
      </c>
      <c r="H89" s="887" t="s">
        <v>934</v>
      </c>
      <c r="I89" s="888">
        <v>10704</v>
      </c>
      <c r="J89" s="889" t="s">
        <v>935</v>
      </c>
      <c r="K89" s="890">
        <f>+I89*VLOOKUP(J89,'Factores Emisión EDGE'!$K$228:$L$230,2,FALSE)/1000</f>
        <v>3.2176223999999998</v>
      </c>
      <c r="L89" s="900">
        <f t="shared" si="0"/>
        <v>0.58902152097600002</v>
      </c>
    </row>
    <row r="90" spans="1:12" ht="14.25" customHeight="1">
      <c r="A90" s="883">
        <v>80</v>
      </c>
      <c r="B90" s="884" t="s">
        <v>944</v>
      </c>
      <c r="C90" s="885" t="s">
        <v>1123</v>
      </c>
      <c r="D90" s="886" t="s">
        <v>946</v>
      </c>
      <c r="E90" s="886" t="s">
        <v>1124</v>
      </c>
      <c r="F90" s="886" t="s">
        <v>947</v>
      </c>
      <c r="G90" s="886" t="s">
        <v>940</v>
      </c>
      <c r="H90" s="887" t="s">
        <v>934</v>
      </c>
      <c r="I90" s="888">
        <v>10310</v>
      </c>
      <c r="J90" s="889" t="s">
        <v>935</v>
      </c>
      <c r="K90" s="890">
        <f>+I90*VLOOKUP(J90,'Factores Emisión EDGE'!$K$228:$L$230,2,FALSE)/1000</f>
        <v>3.0991859999999996</v>
      </c>
      <c r="L90" s="900">
        <f t="shared" si="0"/>
        <v>0.56734042239000004</v>
      </c>
    </row>
    <row r="91" spans="1:12" ht="14.25" customHeight="1">
      <c r="A91" s="883">
        <v>81</v>
      </c>
      <c r="B91" s="884" t="s">
        <v>944</v>
      </c>
      <c r="C91" s="885" t="s">
        <v>1125</v>
      </c>
      <c r="D91" s="886" t="s">
        <v>991</v>
      </c>
      <c r="E91" s="886" t="s">
        <v>992</v>
      </c>
      <c r="F91" s="886" t="s">
        <v>993</v>
      </c>
      <c r="G91" s="886" t="s">
        <v>940</v>
      </c>
      <c r="H91" s="887" t="s">
        <v>934</v>
      </c>
      <c r="I91" s="888">
        <v>10278.895496186729</v>
      </c>
      <c r="J91" s="889" t="s">
        <v>935</v>
      </c>
      <c r="K91" s="890">
        <f>+I91*VLOOKUP(J91,'Factores Emisión EDGE'!$K$228:$L$230,2,FALSE)/1000</f>
        <v>3.0898359861537306</v>
      </c>
      <c r="L91" s="900">
        <f t="shared" si="0"/>
        <v>0.56562879849750225</v>
      </c>
    </row>
    <row r="92" spans="1:12" ht="14.25" customHeight="1">
      <c r="A92" s="883">
        <v>82</v>
      </c>
      <c r="B92" s="884" t="s">
        <v>948</v>
      </c>
      <c r="C92" s="885" t="s">
        <v>1126</v>
      </c>
      <c r="D92" s="886" t="s">
        <v>930</v>
      </c>
      <c r="E92" s="886" t="s">
        <v>1059</v>
      </c>
      <c r="F92" s="886" t="s">
        <v>943</v>
      </c>
      <c r="G92" s="886" t="s">
        <v>940</v>
      </c>
      <c r="H92" s="887" t="s">
        <v>934</v>
      </c>
      <c r="I92" s="888">
        <v>10186.01</v>
      </c>
      <c r="J92" s="889" t="s">
        <v>935</v>
      </c>
      <c r="K92" s="890">
        <f>+I92*VLOOKUP(J92,'Factores Emisión EDGE'!$K$228:$L$230,2,FALSE)/1000</f>
        <v>3.0619146059999998</v>
      </c>
      <c r="L92" s="900">
        <f t="shared" si="0"/>
        <v>0.56051747971568999</v>
      </c>
    </row>
    <row r="93" spans="1:12" ht="14.25" customHeight="1">
      <c r="A93" s="883">
        <v>83</v>
      </c>
      <c r="B93" s="884" t="s">
        <v>948</v>
      </c>
      <c r="C93" s="885" t="s">
        <v>1127</v>
      </c>
      <c r="D93" s="886" t="s">
        <v>970</v>
      </c>
      <c r="E93" s="886" t="s">
        <v>971</v>
      </c>
      <c r="F93" s="886" t="s">
        <v>993</v>
      </c>
      <c r="G93" s="886" t="s">
        <v>940</v>
      </c>
      <c r="H93" s="887" t="s">
        <v>934</v>
      </c>
      <c r="I93" s="888">
        <v>10164</v>
      </c>
      <c r="J93" s="889" t="s">
        <v>935</v>
      </c>
      <c r="K93" s="890">
        <f>+I93*VLOOKUP(J93,'Factores Emisión EDGE'!$K$228:$L$230,2,FALSE)/1000</f>
        <v>3.0552983999999999</v>
      </c>
      <c r="L93" s="900">
        <f t="shared" si="0"/>
        <v>0.55930630971600004</v>
      </c>
    </row>
    <row r="94" spans="1:12" ht="14.25" customHeight="1">
      <c r="A94" s="883">
        <v>84</v>
      </c>
      <c r="B94" s="884" t="s">
        <v>948</v>
      </c>
      <c r="C94" s="885" t="s">
        <v>1128</v>
      </c>
      <c r="D94" s="886" t="s">
        <v>930</v>
      </c>
      <c r="E94" s="886" t="s">
        <v>1053</v>
      </c>
      <c r="F94" s="886" t="s">
        <v>943</v>
      </c>
      <c r="G94" s="886" t="s">
        <v>940</v>
      </c>
      <c r="H94" s="887" t="s">
        <v>934</v>
      </c>
      <c r="I94" s="888">
        <v>10117.82</v>
      </c>
      <c r="J94" s="889" t="s">
        <v>935</v>
      </c>
      <c r="K94" s="890">
        <f>+I94*VLOOKUP(J94,'Factores Emisión EDGE'!$K$228:$L$230,2,FALSE)/1000</f>
        <v>3.0414166919999999</v>
      </c>
      <c r="L94" s="900">
        <f t="shared" si="0"/>
        <v>0.55676510887157993</v>
      </c>
    </row>
    <row r="95" spans="1:12" ht="14.25" customHeight="1">
      <c r="A95" s="883">
        <v>85</v>
      </c>
      <c r="B95" s="884" t="s">
        <v>948</v>
      </c>
      <c r="C95" s="885" t="s">
        <v>1129</v>
      </c>
      <c r="D95" s="886" t="s">
        <v>1112</v>
      </c>
      <c r="E95" s="886" t="s">
        <v>1113</v>
      </c>
      <c r="F95" s="886" t="s">
        <v>1045</v>
      </c>
      <c r="G95" s="886" t="s">
        <v>940</v>
      </c>
      <c r="H95" s="887" t="s">
        <v>934</v>
      </c>
      <c r="I95" s="888">
        <v>10060.269999999999</v>
      </c>
      <c r="J95" s="889" t="s">
        <v>977</v>
      </c>
      <c r="K95" s="890">
        <f>+I95*VLOOKUP(J95,'Factores Emisión EDGE'!$K$228:$L$230,2,FALSE)/1000</f>
        <v>7.2886656149999993</v>
      </c>
      <c r="L95" s="900">
        <f t="shared" si="0"/>
        <v>0.55359823774563</v>
      </c>
    </row>
    <row r="96" spans="1:12" ht="14.25" customHeight="1">
      <c r="A96" s="883">
        <v>86</v>
      </c>
      <c r="B96" s="884" t="s">
        <v>948</v>
      </c>
      <c r="C96" s="885" t="s">
        <v>1130</v>
      </c>
      <c r="D96" s="886" t="s">
        <v>930</v>
      </c>
      <c r="E96" s="886" t="s">
        <v>1056</v>
      </c>
      <c r="F96" s="886" t="s">
        <v>943</v>
      </c>
      <c r="G96" s="886" t="s">
        <v>940</v>
      </c>
      <c r="H96" s="887" t="s">
        <v>934</v>
      </c>
      <c r="I96" s="888">
        <v>9920.7500000000018</v>
      </c>
      <c r="J96" s="889" t="s">
        <v>935</v>
      </c>
      <c r="K96" s="890">
        <f>+I96*VLOOKUP(J96,'Factores Emisión EDGE'!$K$228:$L$230,2,FALSE)/1000</f>
        <v>2.98217745</v>
      </c>
      <c r="L96" s="900">
        <f t="shared" si="0"/>
        <v>0.54592070760675016</v>
      </c>
    </row>
    <row r="97" spans="1:12" ht="14.25" customHeight="1">
      <c r="A97" s="883">
        <v>87</v>
      </c>
      <c r="B97" s="884" t="s">
        <v>948</v>
      </c>
      <c r="C97" s="885" t="s">
        <v>1131</v>
      </c>
      <c r="D97" s="886" t="s">
        <v>999</v>
      </c>
      <c r="E97" s="886" t="s">
        <v>1000</v>
      </c>
      <c r="F97" s="886" t="s">
        <v>1003</v>
      </c>
      <c r="G97" s="886" t="s">
        <v>940</v>
      </c>
      <c r="H97" s="887" t="s">
        <v>934</v>
      </c>
      <c r="I97" s="888">
        <v>9868</v>
      </c>
      <c r="J97" s="889" t="s">
        <v>935</v>
      </c>
      <c r="K97" s="890">
        <f>+I97*VLOOKUP(J97,'Factores Emisión EDGE'!$K$228:$L$230,2,FALSE)/1000</f>
        <v>2.9663208000000001</v>
      </c>
      <c r="L97" s="900">
        <f t="shared" si="0"/>
        <v>0.54301797169200006</v>
      </c>
    </row>
    <row r="98" spans="1:12" ht="14.25" customHeight="1">
      <c r="A98" s="883">
        <v>88</v>
      </c>
      <c r="B98" s="884" t="s">
        <v>948</v>
      </c>
      <c r="C98" s="885" t="s">
        <v>1132</v>
      </c>
      <c r="D98" s="886" t="s">
        <v>1012</v>
      </c>
      <c r="E98" s="886" t="s">
        <v>1013</v>
      </c>
      <c r="F98" s="886" t="s">
        <v>993</v>
      </c>
      <c r="G98" s="886" t="s">
        <v>940</v>
      </c>
      <c r="H98" s="887" t="s">
        <v>934</v>
      </c>
      <c r="I98" s="888">
        <v>9842</v>
      </c>
      <c r="J98" s="889" t="s">
        <v>935</v>
      </c>
      <c r="K98" s="890">
        <f>+I98*VLOOKUP(J98,'Factores Emisión EDGE'!$K$228:$L$230,2,FALSE)/1000</f>
        <v>2.9585051999999994</v>
      </c>
      <c r="L98" s="900">
        <f t="shared" si="0"/>
        <v>0.54158723929800001</v>
      </c>
    </row>
    <row r="99" spans="1:12" ht="14.25" customHeight="1">
      <c r="A99" s="883">
        <v>89</v>
      </c>
      <c r="B99" s="884" t="s">
        <v>941</v>
      </c>
      <c r="C99" s="885" t="s">
        <v>1133</v>
      </c>
      <c r="D99" s="886" t="s">
        <v>999</v>
      </c>
      <c r="E99" s="886" t="s">
        <v>1134</v>
      </c>
      <c r="F99" s="886" t="s">
        <v>961</v>
      </c>
      <c r="G99" s="886" t="s">
        <v>940</v>
      </c>
      <c r="H99" s="887" t="s">
        <v>934</v>
      </c>
      <c r="I99" s="888">
        <v>9526</v>
      </c>
      <c r="J99" s="889" t="s">
        <v>935</v>
      </c>
      <c r="K99" s="890">
        <f>+I99*VLOOKUP(J99,'Factores Emisión EDGE'!$K$228:$L$230,2,FALSE)/1000</f>
        <v>2.8635155999999999</v>
      </c>
      <c r="L99" s="900">
        <f t="shared" si="0"/>
        <v>0.52419833789400005</v>
      </c>
    </row>
    <row r="100" spans="1:12" ht="14.25" customHeight="1">
      <c r="A100" s="883">
        <v>90</v>
      </c>
      <c r="B100" s="884" t="s">
        <v>948</v>
      </c>
      <c r="C100" s="885" t="s">
        <v>1135</v>
      </c>
      <c r="D100" s="886" t="s">
        <v>1039</v>
      </c>
      <c r="E100" s="886" t="s">
        <v>1136</v>
      </c>
      <c r="F100" s="886" t="s">
        <v>976</v>
      </c>
      <c r="G100" s="886" t="s">
        <v>940</v>
      </c>
      <c r="H100" s="887" t="s">
        <v>934</v>
      </c>
      <c r="I100" s="888">
        <v>9305</v>
      </c>
      <c r="J100" s="889" t="s">
        <v>935</v>
      </c>
      <c r="K100" s="890">
        <f>+I100*VLOOKUP(J100,'Factores Emisión EDGE'!$K$228:$L$230,2,FALSE)/1000</f>
        <v>2.7970829999999998</v>
      </c>
      <c r="L100" s="900">
        <f t="shared" si="0"/>
        <v>0.51203711254500006</v>
      </c>
    </row>
    <row r="101" spans="1:12" ht="14.25" customHeight="1">
      <c r="A101" s="883">
        <v>91</v>
      </c>
      <c r="B101" s="884" t="s">
        <v>944</v>
      </c>
      <c r="C101" s="885" t="s">
        <v>1137</v>
      </c>
      <c r="D101" s="886" t="s">
        <v>1012</v>
      </c>
      <c r="E101" s="886" t="s">
        <v>1013</v>
      </c>
      <c r="F101" s="886" t="s">
        <v>993</v>
      </c>
      <c r="G101" s="886" t="s">
        <v>940</v>
      </c>
      <c r="H101" s="887" t="s">
        <v>934</v>
      </c>
      <c r="I101" s="888">
        <v>9235</v>
      </c>
      <c r="J101" s="889" t="s">
        <v>935</v>
      </c>
      <c r="K101" s="890">
        <f>+I101*VLOOKUP(J101,'Factores Emisión EDGE'!$K$228:$L$230,2,FALSE)/1000</f>
        <v>2.7760409999999998</v>
      </c>
      <c r="L101" s="900">
        <f t="shared" si="0"/>
        <v>0.50818514071499998</v>
      </c>
    </row>
    <row r="102" spans="1:12" ht="14.25" customHeight="1">
      <c r="A102" s="883">
        <v>92</v>
      </c>
      <c r="B102" s="884" t="s">
        <v>948</v>
      </c>
      <c r="C102" s="885" t="s">
        <v>1138</v>
      </c>
      <c r="D102" s="886" t="s">
        <v>946</v>
      </c>
      <c r="E102" s="886" t="s">
        <v>1138</v>
      </c>
      <c r="F102" s="886" t="s">
        <v>947</v>
      </c>
      <c r="G102" s="886" t="s">
        <v>940</v>
      </c>
      <c r="H102" s="887" t="s">
        <v>934</v>
      </c>
      <c r="I102" s="888">
        <v>9009</v>
      </c>
      <c r="J102" s="889" t="s">
        <v>935</v>
      </c>
      <c r="K102" s="890">
        <f>+I102*VLOOKUP(J102,'Factores Emisión EDGE'!$K$228:$L$230,2,FALSE)/1000</f>
        <v>2.7081054</v>
      </c>
      <c r="L102" s="900">
        <f t="shared" si="0"/>
        <v>0.49574877452100002</v>
      </c>
    </row>
    <row r="103" spans="1:12" ht="14.25" customHeight="1">
      <c r="A103" s="883">
        <v>93</v>
      </c>
      <c r="B103" s="884" t="s">
        <v>948</v>
      </c>
      <c r="C103" s="885" t="s">
        <v>1139</v>
      </c>
      <c r="D103" s="886" t="s">
        <v>930</v>
      </c>
      <c r="E103" s="886" t="s">
        <v>1059</v>
      </c>
      <c r="F103" s="886" t="s">
        <v>943</v>
      </c>
      <c r="G103" s="886" t="s">
        <v>940</v>
      </c>
      <c r="H103" s="887" t="s">
        <v>934</v>
      </c>
      <c r="I103" s="888">
        <v>8946.369999999999</v>
      </c>
      <c r="J103" s="889" t="s">
        <v>935</v>
      </c>
      <c r="K103" s="890">
        <f>+I103*VLOOKUP(J103,'Factores Emisión EDGE'!$K$228:$L$230,2,FALSE)/1000</f>
        <v>2.6892788219999995</v>
      </c>
      <c r="L103" s="900">
        <f t="shared" si="0"/>
        <v>0.49230236029652996</v>
      </c>
    </row>
    <row r="104" spans="1:12" ht="14.25" customHeight="1">
      <c r="A104" s="883">
        <v>94</v>
      </c>
      <c r="B104" s="884" t="s">
        <v>948</v>
      </c>
      <c r="C104" s="885" t="s">
        <v>1140</v>
      </c>
      <c r="D104" s="886" t="s">
        <v>930</v>
      </c>
      <c r="E104" s="886" t="s">
        <v>1027</v>
      </c>
      <c r="F104" s="886" t="s">
        <v>943</v>
      </c>
      <c r="G104" s="886" t="s">
        <v>940</v>
      </c>
      <c r="H104" s="887" t="s">
        <v>934</v>
      </c>
      <c r="I104" s="888">
        <v>8856.6706404064298</v>
      </c>
      <c r="J104" s="889" t="s">
        <v>935</v>
      </c>
      <c r="K104" s="890">
        <f>+I104*VLOOKUP(J104,'Factores Emisión EDGE'!$K$228:$L$230,2,FALSE)/1000</f>
        <v>2.6623151945061725</v>
      </c>
      <c r="L104" s="900">
        <f t="shared" si="0"/>
        <v>0.48736636877762329</v>
      </c>
    </row>
    <row r="105" spans="1:12" ht="14.25" customHeight="1">
      <c r="A105" s="883">
        <v>95</v>
      </c>
      <c r="B105" s="884" t="s">
        <v>948</v>
      </c>
      <c r="C105" s="885" t="s">
        <v>1141</v>
      </c>
      <c r="D105" s="886" t="s">
        <v>954</v>
      </c>
      <c r="E105" s="886" t="s">
        <v>955</v>
      </c>
      <c r="F105" s="886" t="s">
        <v>1045</v>
      </c>
      <c r="G105" s="886" t="s">
        <v>940</v>
      </c>
      <c r="H105" s="887" t="s">
        <v>934</v>
      </c>
      <c r="I105" s="888">
        <v>8823</v>
      </c>
      <c r="J105" s="889" t="s">
        <v>935</v>
      </c>
      <c r="K105" s="890">
        <f>+I105*VLOOKUP(J105,'Factores Emisión EDGE'!$K$228:$L$230,2,FALSE)/1000</f>
        <v>2.6521938</v>
      </c>
      <c r="L105" s="900">
        <f t="shared" si="0"/>
        <v>0.48551353508700001</v>
      </c>
    </row>
    <row r="106" spans="1:12" ht="14.25" customHeight="1">
      <c r="A106" s="883">
        <v>96</v>
      </c>
      <c r="B106" s="884" t="s">
        <v>948</v>
      </c>
      <c r="C106" s="885" t="s">
        <v>1142</v>
      </c>
      <c r="D106" s="886" t="s">
        <v>954</v>
      </c>
      <c r="E106" s="886" t="s">
        <v>1006</v>
      </c>
      <c r="F106" s="886" t="s">
        <v>1045</v>
      </c>
      <c r="G106" s="886" t="s">
        <v>940</v>
      </c>
      <c r="H106" s="887" t="s">
        <v>934</v>
      </c>
      <c r="I106" s="888">
        <v>8822</v>
      </c>
      <c r="J106" s="889" t="s">
        <v>935</v>
      </c>
      <c r="K106" s="890">
        <f>+I106*VLOOKUP(J106,'Factores Emisión EDGE'!$K$228:$L$230,2,FALSE)/1000</f>
        <v>2.6518932</v>
      </c>
      <c r="L106" s="900">
        <f t="shared" si="0"/>
        <v>0.48545850691800002</v>
      </c>
    </row>
    <row r="107" spans="1:12" ht="14.25" customHeight="1">
      <c r="A107" s="883">
        <v>97</v>
      </c>
      <c r="B107" s="884" t="s">
        <v>948</v>
      </c>
      <c r="C107" s="885" t="s">
        <v>1143</v>
      </c>
      <c r="D107" s="886" t="s">
        <v>950</v>
      </c>
      <c r="E107" s="886" t="s">
        <v>963</v>
      </c>
      <c r="F107" s="886" t="s">
        <v>1010</v>
      </c>
      <c r="G107" s="886" t="s">
        <v>940</v>
      </c>
      <c r="H107" s="887" t="s">
        <v>934</v>
      </c>
      <c r="I107" s="888">
        <v>8805</v>
      </c>
      <c r="J107" s="889" t="s">
        <v>935</v>
      </c>
      <c r="K107" s="890">
        <f>+I107*VLOOKUP(J107,'Factores Emisión EDGE'!$K$228:$L$230,2,FALSE)/1000</f>
        <v>2.6467830000000001</v>
      </c>
      <c r="L107" s="900">
        <f t="shared" si="0"/>
        <v>0.48452302804499997</v>
      </c>
    </row>
    <row r="108" spans="1:12" ht="14.25" customHeight="1">
      <c r="A108" s="883">
        <v>98</v>
      </c>
      <c r="B108" s="884" t="s">
        <v>944</v>
      </c>
      <c r="C108" s="885" t="s">
        <v>1144</v>
      </c>
      <c r="D108" s="886" t="s">
        <v>991</v>
      </c>
      <c r="E108" s="886" t="s">
        <v>1021</v>
      </c>
      <c r="F108" s="886" t="s">
        <v>993</v>
      </c>
      <c r="G108" s="886" t="s">
        <v>940</v>
      </c>
      <c r="H108" s="887" t="s">
        <v>934</v>
      </c>
      <c r="I108" s="888">
        <v>8713</v>
      </c>
      <c r="J108" s="889" t="s">
        <v>935</v>
      </c>
      <c r="K108" s="890">
        <f>+I108*VLOOKUP(J108,'Factores Emisión EDGE'!$K$228:$L$230,2,FALSE)/1000</f>
        <v>2.6191277999999998</v>
      </c>
      <c r="L108" s="900">
        <f t="shared" si="0"/>
        <v>0.47946043649699999</v>
      </c>
    </row>
    <row r="109" spans="1:12" ht="14.25" customHeight="1">
      <c r="A109" s="883">
        <v>99</v>
      </c>
      <c r="B109" s="884" t="s">
        <v>944</v>
      </c>
      <c r="C109" s="885" t="s">
        <v>1145</v>
      </c>
      <c r="D109" s="886" t="s">
        <v>959</v>
      </c>
      <c r="E109" s="886" t="s">
        <v>960</v>
      </c>
      <c r="F109" s="886" t="s">
        <v>1003</v>
      </c>
      <c r="G109" s="886" t="s">
        <v>940</v>
      </c>
      <c r="H109" s="887" t="s">
        <v>934</v>
      </c>
      <c r="I109" s="888">
        <v>8697.7099999999991</v>
      </c>
      <c r="J109" s="889" t="s">
        <v>935</v>
      </c>
      <c r="K109" s="890">
        <f>+I109*VLOOKUP(J109,'Factores Emisión EDGE'!$K$228:$L$230,2,FALSE)/1000</f>
        <v>2.6145316259999993</v>
      </c>
      <c r="L109" s="900">
        <f t="shared" si="0"/>
        <v>0.47861905579298997</v>
      </c>
    </row>
    <row r="110" spans="1:12" ht="14.25" customHeight="1">
      <c r="A110" s="883">
        <v>100</v>
      </c>
      <c r="B110" s="884" t="s">
        <v>948</v>
      </c>
      <c r="C110" s="885" t="s">
        <v>1146</v>
      </c>
      <c r="D110" s="886" t="s">
        <v>1039</v>
      </c>
      <c r="E110" s="886" t="s">
        <v>1039</v>
      </c>
      <c r="F110" s="886" t="s">
        <v>947</v>
      </c>
      <c r="G110" s="886" t="s">
        <v>940</v>
      </c>
      <c r="H110" s="887" t="s">
        <v>934</v>
      </c>
      <c r="I110" s="888">
        <v>8684.93</v>
      </c>
      <c r="J110" s="889" t="s">
        <v>935</v>
      </c>
      <c r="K110" s="890">
        <f>+I110*VLOOKUP(J110,'Factores Emisión EDGE'!$K$228:$L$230,2,FALSE)/1000</f>
        <v>2.610689958</v>
      </c>
      <c r="L110" s="900">
        <f t="shared" si="0"/>
        <v>0.47791579579317006</v>
      </c>
    </row>
    <row r="111" spans="1:12" ht="14.25" customHeight="1">
      <c r="A111" s="883">
        <v>101</v>
      </c>
      <c r="B111" s="884" t="s">
        <v>948</v>
      </c>
      <c r="C111" s="885" t="s">
        <v>1147</v>
      </c>
      <c r="D111" s="886" t="s">
        <v>1012</v>
      </c>
      <c r="E111" s="886" t="s">
        <v>1013</v>
      </c>
      <c r="F111" s="886" t="s">
        <v>993</v>
      </c>
      <c r="G111" s="886" t="s">
        <v>940</v>
      </c>
      <c r="H111" s="887" t="s">
        <v>934</v>
      </c>
      <c r="I111" s="888">
        <v>8589</v>
      </c>
      <c r="J111" s="889" t="s">
        <v>935</v>
      </c>
      <c r="K111" s="890">
        <f>+I111*VLOOKUP(J111,'Factores Emisión EDGE'!$K$228:$L$230,2,FALSE)/1000</f>
        <v>2.5818534</v>
      </c>
      <c r="L111" s="900">
        <f t="shared" si="0"/>
        <v>0.472636943541</v>
      </c>
    </row>
    <row r="112" spans="1:12" ht="14.25" customHeight="1">
      <c r="A112" s="883">
        <v>102</v>
      </c>
      <c r="B112" s="884" t="s">
        <v>941</v>
      </c>
      <c r="C112" s="885" t="s">
        <v>1148</v>
      </c>
      <c r="D112" s="886" t="s">
        <v>930</v>
      </c>
      <c r="E112" s="886" t="s">
        <v>939</v>
      </c>
      <c r="F112" s="886" t="s">
        <v>932</v>
      </c>
      <c r="G112" s="886" t="s">
        <v>940</v>
      </c>
      <c r="H112" s="887" t="s">
        <v>934</v>
      </c>
      <c r="I112" s="888">
        <v>8554</v>
      </c>
      <c r="J112" s="889" t="s">
        <v>935</v>
      </c>
      <c r="K112" s="890">
        <f>+I112*VLOOKUP(J112,'Factores Emisión EDGE'!$K$228:$L$230,2,FALSE)/1000</f>
        <v>2.5713323999999997</v>
      </c>
      <c r="L112" s="900">
        <f t="shared" si="0"/>
        <v>0.47071095762600001</v>
      </c>
    </row>
    <row r="113" spans="1:22" ht="14.25" customHeight="1">
      <c r="A113" s="883">
        <v>103</v>
      </c>
      <c r="B113" s="884" t="s">
        <v>944</v>
      </c>
      <c r="C113" s="885" t="s">
        <v>1149</v>
      </c>
      <c r="D113" s="886" t="s">
        <v>930</v>
      </c>
      <c r="E113" s="886" t="s">
        <v>1056</v>
      </c>
      <c r="F113" s="886" t="s">
        <v>943</v>
      </c>
      <c r="G113" s="886" t="s">
        <v>940</v>
      </c>
      <c r="H113" s="887" t="s">
        <v>934</v>
      </c>
      <c r="I113" s="888">
        <v>8422.19</v>
      </c>
      <c r="J113" s="889" t="s">
        <v>935</v>
      </c>
      <c r="K113" s="890">
        <f>+I113*VLOOKUP(J113,'Factores Emisión EDGE'!$K$228:$L$230,2,FALSE)/1000</f>
        <v>2.5317103140000001</v>
      </c>
      <c r="L113" s="900">
        <f t="shared" si="0"/>
        <v>0.46345769467011</v>
      </c>
      <c r="M113" s="431"/>
      <c r="N113" s="947" t="s">
        <v>1150</v>
      </c>
      <c r="O113" s="948" t="s">
        <v>1151</v>
      </c>
      <c r="P113" s="948" t="s">
        <v>1152</v>
      </c>
      <c r="Q113" s="948" t="s">
        <v>1153</v>
      </c>
      <c r="R113" s="948" t="s">
        <v>925</v>
      </c>
      <c r="S113" s="948" t="s">
        <v>114</v>
      </c>
      <c r="T113" s="948" t="s">
        <v>1154</v>
      </c>
      <c r="U113" s="948" t="s">
        <v>1155</v>
      </c>
      <c r="V113" s="431"/>
    </row>
    <row r="114" spans="1:22" ht="14.25" customHeight="1">
      <c r="A114" s="883">
        <v>104</v>
      </c>
      <c r="B114" s="884" t="s">
        <v>948</v>
      </c>
      <c r="C114" s="885" t="s">
        <v>1156</v>
      </c>
      <c r="D114" s="886" t="s">
        <v>950</v>
      </c>
      <c r="E114" s="886" t="s">
        <v>1009</v>
      </c>
      <c r="F114" s="886" t="s">
        <v>1010</v>
      </c>
      <c r="G114" s="886" t="s">
        <v>940</v>
      </c>
      <c r="H114" s="887" t="s">
        <v>934</v>
      </c>
      <c r="I114" s="888">
        <v>8360</v>
      </c>
      <c r="J114" s="889" t="s">
        <v>935</v>
      </c>
      <c r="K114" s="890">
        <f>+I114*VLOOKUP(J114,'Factores Emisión EDGE'!$K$228:$L$230,2,FALSE)/1000</f>
        <v>2.5130159999999995</v>
      </c>
      <c r="L114" s="900">
        <f t="shared" si="0"/>
        <v>0.46003549284</v>
      </c>
      <c r="M114" s="431"/>
      <c r="N114" s="949" t="s">
        <v>103</v>
      </c>
      <c r="O114" s="949" t="s">
        <v>1157</v>
      </c>
      <c r="P114" s="950" t="s">
        <v>1158</v>
      </c>
      <c r="Q114" s="1527">
        <v>19105834</v>
      </c>
      <c r="R114" s="951">
        <v>456447</v>
      </c>
      <c r="S114" s="952" t="s">
        <v>1159</v>
      </c>
      <c r="T114" s="949" t="s">
        <v>453</v>
      </c>
      <c r="U114" s="953">
        <v>4409278</v>
      </c>
      <c r="V114" s="431"/>
    </row>
    <row r="115" spans="1:22" ht="14.25" customHeight="1">
      <c r="A115" s="883">
        <v>105</v>
      </c>
      <c r="B115" s="884" t="s">
        <v>928</v>
      </c>
      <c r="C115" s="885" t="s">
        <v>1160</v>
      </c>
      <c r="D115" s="886" t="s">
        <v>991</v>
      </c>
      <c r="E115" s="886" t="s">
        <v>1021</v>
      </c>
      <c r="F115" s="886" t="s">
        <v>972</v>
      </c>
      <c r="G115" s="886" t="s">
        <v>940</v>
      </c>
      <c r="H115" s="887" t="s">
        <v>934</v>
      </c>
      <c r="I115" s="888">
        <v>8317.0909090909099</v>
      </c>
      <c r="J115" s="889" t="s">
        <v>935</v>
      </c>
      <c r="K115" s="890">
        <f>+I115*VLOOKUP(J115,'Factores Emisión EDGE'!$K$228:$L$230,2,FALSE)/1000</f>
        <v>2.5001175272727272</v>
      </c>
      <c r="L115" s="900">
        <f t="shared" si="0"/>
        <v>0.45767428413381822</v>
      </c>
      <c r="M115" s="431"/>
      <c r="N115" s="949" t="s">
        <v>103</v>
      </c>
      <c r="O115" s="949" t="s">
        <v>1161</v>
      </c>
      <c r="P115" s="950" t="s">
        <v>1158</v>
      </c>
      <c r="Q115" s="1472"/>
      <c r="R115" s="951">
        <v>42804</v>
      </c>
      <c r="S115" s="952" t="s">
        <v>1159</v>
      </c>
      <c r="T115" s="949" t="s">
        <v>453</v>
      </c>
      <c r="U115" s="953">
        <v>413487</v>
      </c>
      <c r="V115" s="431"/>
    </row>
    <row r="116" spans="1:22" ht="14.25" customHeight="1">
      <c r="A116" s="883">
        <v>106</v>
      </c>
      <c r="B116" s="884" t="s">
        <v>944</v>
      </c>
      <c r="C116" s="885" t="s">
        <v>1162</v>
      </c>
      <c r="D116" s="886" t="s">
        <v>946</v>
      </c>
      <c r="E116" s="886" t="s">
        <v>1124</v>
      </c>
      <c r="F116" s="886" t="s">
        <v>947</v>
      </c>
      <c r="G116" s="886" t="s">
        <v>940</v>
      </c>
      <c r="H116" s="887" t="s">
        <v>934</v>
      </c>
      <c r="I116" s="888">
        <v>8304.4800000000014</v>
      </c>
      <c r="J116" s="889" t="s">
        <v>935</v>
      </c>
      <c r="K116" s="890">
        <f>+I116*VLOOKUP(J116,'Factores Emisión EDGE'!$K$228:$L$230,2,FALSE)/1000</f>
        <v>2.4963266879999999</v>
      </c>
      <c r="L116" s="900">
        <f t="shared" si="0"/>
        <v>0.45698032889712009</v>
      </c>
      <c r="M116" s="431"/>
      <c r="N116" s="949" t="s">
        <v>103</v>
      </c>
      <c r="O116" s="949" t="s">
        <v>1163</v>
      </c>
      <c r="P116" s="950" t="s">
        <v>1158</v>
      </c>
      <c r="Q116" s="1472"/>
      <c r="R116" s="951">
        <v>147209</v>
      </c>
      <c r="S116" s="952" t="s">
        <v>446</v>
      </c>
      <c r="T116" s="949" t="s">
        <v>94</v>
      </c>
      <c r="U116" s="953">
        <v>147209</v>
      </c>
      <c r="V116" s="431"/>
    </row>
    <row r="117" spans="1:22" ht="14.25" customHeight="1">
      <c r="A117" s="883">
        <v>107</v>
      </c>
      <c r="B117" s="884" t="s">
        <v>948</v>
      </c>
      <c r="C117" s="885" t="s">
        <v>1164</v>
      </c>
      <c r="D117" s="886" t="s">
        <v>930</v>
      </c>
      <c r="E117" s="886" t="s">
        <v>1053</v>
      </c>
      <c r="F117" s="886" t="s">
        <v>943</v>
      </c>
      <c r="G117" s="886" t="s">
        <v>940</v>
      </c>
      <c r="H117" s="887" t="s">
        <v>934</v>
      </c>
      <c r="I117" s="888">
        <v>8242.5203673579181</v>
      </c>
      <c r="J117" s="889" t="s">
        <v>935</v>
      </c>
      <c r="K117" s="890">
        <f>+I117*VLOOKUP(J117,'Factores Emisión EDGE'!$K$228:$L$230,2,FALSE)/1000</f>
        <v>2.4777016224277899</v>
      </c>
      <c r="L117" s="900">
        <f t="shared" si="0"/>
        <v>0.45357080376091363</v>
      </c>
      <c r="M117" s="431"/>
      <c r="N117" s="949" t="s">
        <v>103</v>
      </c>
      <c r="O117" s="949" t="s">
        <v>1165</v>
      </c>
      <c r="P117" s="954" t="s">
        <v>1166</v>
      </c>
      <c r="Q117" s="1472"/>
      <c r="R117" s="951">
        <v>1920607</v>
      </c>
      <c r="S117" s="952" t="s">
        <v>1159</v>
      </c>
      <c r="T117" s="949" t="s">
        <v>453</v>
      </c>
      <c r="U117" s="949" t="s">
        <v>325</v>
      </c>
      <c r="V117" s="431"/>
    </row>
    <row r="118" spans="1:22" ht="14.25" customHeight="1">
      <c r="A118" s="883">
        <v>108</v>
      </c>
      <c r="B118" s="884" t="s">
        <v>928</v>
      </c>
      <c r="C118" s="885" t="s">
        <v>1167</v>
      </c>
      <c r="D118" s="886" t="s">
        <v>1039</v>
      </c>
      <c r="E118" s="886" t="s">
        <v>1092</v>
      </c>
      <c r="F118" s="886" t="s">
        <v>976</v>
      </c>
      <c r="G118" s="886" t="s">
        <v>940</v>
      </c>
      <c r="H118" s="887" t="s">
        <v>934</v>
      </c>
      <c r="I118" s="888">
        <v>8033</v>
      </c>
      <c r="J118" s="889" t="s">
        <v>935</v>
      </c>
      <c r="K118" s="890">
        <f>+I118*VLOOKUP(J118,'Factores Emisión EDGE'!$K$228:$L$230,2,FALSE)/1000</f>
        <v>2.4147197999999999</v>
      </c>
      <c r="L118" s="900">
        <f t="shared" si="0"/>
        <v>0.44204128157700001</v>
      </c>
      <c r="M118" s="431"/>
      <c r="N118" s="949" t="s">
        <v>103</v>
      </c>
      <c r="O118" s="949" t="s">
        <v>1168</v>
      </c>
      <c r="P118" s="950" t="s">
        <v>1158</v>
      </c>
      <c r="Q118" s="1472"/>
      <c r="R118" s="951">
        <v>452116</v>
      </c>
      <c r="S118" s="952" t="s">
        <v>1159</v>
      </c>
      <c r="T118" s="949" t="s">
        <v>453</v>
      </c>
      <c r="U118" s="953">
        <v>4367441</v>
      </c>
      <c r="V118" s="431"/>
    </row>
    <row r="119" spans="1:22" ht="14.25" customHeight="1">
      <c r="A119" s="883">
        <v>109</v>
      </c>
      <c r="B119" s="884" t="s">
        <v>948</v>
      </c>
      <c r="C119" s="885" t="s">
        <v>1169</v>
      </c>
      <c r="D119" s="886" t="s">
        <v>1170</v>
      </c>
      <c r="E119" s="886" t="s">
        <v>989</v>
      </c>
      <c r="F119" s="886" t="s">
        <v>1010</v>
      </c>
      <c r="G119" s="886" t="s">
        <v>940</v>
      </c>
      <c r="H119" s="887" t="s">
        <v>934</v>
      </c>
      <c r="I119" s="888">
        <v>7987.636363636364</v>
      </c>
      <c r="J119" s="889" t="s">
        <v>935</v>
      </c>
      <c r="K119" s="890">
        <f>+I119*VLOOKUP(J119,'Factores Emisión EDGE'!$K$228:$L$230,2,FALSE)/1000</f>
        <v>2.401083490909091</v>
      </c>
      <c r="L119" s="900">
        <f t="shared" si="0"/>
        <v>0.43954500372872729</v>
      </c>
      <c r="M119" s="431"/>
      <c r="N119" s="949" t="s">
        <v>103</v>
      </c>
      <c r="O119" s="949" t="s">
        <v>1171</v>
      </c>
      <c r="P119" s="954" t="s">
        <v>127</v>
      </c>
      <c r="Q119" s="1472"/>
      <c r="R119" s="951">
        <v>1064449</v>
      </c>
      <c r="S119" s="952" t="s">
        <v>1159</v>
      </c>
      <c r="T119" s="949" t="s">
        <v>453</v>
      </c>
      <c r="U119" s="949" t="s">
        <v>325</v>
      </c>
      <c r="V119" s="431"/>
    </row>
    <row r="120" spans="1:22" ht="14.25" customHeight="1">
      <c r="A120" s="883">
        <v>110</v>
      </c>
      <c r="B120" s="884" t="s">
        <v>944</v>
      </c>
      <c r="C120" s="885" t="s">
        <v>1172</v>
      </c>
      <c r="D120" s="886" t="s">
        <v>959</v>
      </c>
      <c r="E120" s="886" t="s">
        <v>1172</v>
      </c>
      <c r="F120" s="886" t="s">
        <v>1003</v>
      </c>
      <c r="G120" s="886" t="s">
        <v>940</v>
      </c>
      <c r="H120" s="887" t="s">
        <v>934</v>
      </c>
      <c r="I120" s="888">
        <v>7971</v>
      </c>
      <c r="J120" s="889" t="s">
        <v>935</v>
      </c>
      <c r="K120" s="890">
        <f>+I120*VLOOKUP(J120,'Factores Emisión EDGE'!$K$228:$L$230,2,FALSE)/1000</f>
        <v>2.3960825999999997</v>
      </c>
      <c r="L120" s="900">
        <f t="shared" si="0"/>
        <v>0.43862953509899999</v>
      </c>
      <c r="M120" s="431"/>
      <c r="N120" s="949" t="s">
        <v>1024</v>
      </c>
      <c r="O120" s="949" t="s">
        <v>25</v>
      </c>
      <c r="P120" s="950" t="s">
        <v>1158</v>
      </c>
      <c r="Q120" s="1472"/>
      <c r="R120" s="951">
        <v>4917011</v>
      </c>
      <c r="S120" s="952" t="s">
        <v>446</v>
      </c>
      <c r="T120" s="949" t="s">
        <v>453</v>
      </c>
      <c r="U120" s="953">
        <v>4917011</v>
      </c>
      <c r="V120" s="431"/>
    </row>
    <row r="121" spans="1:22" ht="14.25" customHeight="1">
      <c r="A121" s="883">
        <v>111</v>
      </c>
      <c r="B121" s="884" t="s">
        <v>944</v>
      </c>
      <c r="C121" s="885" t="s">
        <v>1173</v>
      </c>
      <c r="D121" s="886" t="s">
        <v>965</v>
      </c>
      <c r="E121" s="886" t="s">
        <v>1036</v>
      </c>
      <c r="F121" s="886" t="s">
        <v>1003</v>
      </c>
      <c r="G121" s="886" t="s">
        <v>940</v>
      </c>
      <c r="H121" s="887" t="s">
        <v>934</v>
      </c>
      <c r="I121" s="888">
        <v>7880.1366148060797</v>
      </c>
      <c r="J121" s="889" t="s">
        <v>935</v>
      </c>
      <c r="K121" s="890">
        <f>+I121*VLOOKUP(J121,'Factores Emisión EDGE'!$K$228:$L$230,2,FALSE)/1000</f>
        <v>2.3687690664107071</v>
      </c>
      <c r="L121" s="900">
        <f t="shared" si="0"/>
        <v>0.43362948938263685</v>
      </c>
      <c r="M121" s="431"/>
      <c r="N121" s="949" t="s">
        <v>103</v>
      </c>
      <c r="O121" s="949" t="s">
        <v>1174</v>
      </c>
      <c r="P121" s="950" t="s">
        <v>1158</v>
      </c>
      <c r="Q121" s="1472"/>
      <c r="R121" s="951">
        <v>4199</v>
      </c>
      <c r="S121" s="952" t="s">
        <v>1159</v>
      </c>
      <c r="T121" s="949" t="s">
        <v>453</v>
      </c>
      <c r="U121" s="953">
        <v>40562</v>
      </c>
      <c r="V121" s="431"/>
    </row>
    <row r="122" spans="1:22" ht="14.25" customHeight="1">
      <c r="A122" s="883">
        <v>112</v>
      </c>
      <c r="B122" s="884" t="s">
        <v>948</v>
      </c>
      <c r="C122" s="885" t="s">
        <v>1175</v>
      </c>
      <c r="D122" s="886" t="s">
        <v>930</v>
      </c>
      <c r="E122" s="886" t="s">
        <v>1056</v>
      </c>
      <c r="F122" s="886" t="s">
        <v>943</v>
      </c>
      <c r="G122" s="886" t="s">
        <v>940</v>
      </c>
      <c r="H122" s="887" t="s">
        <v>934</v>
      </c>
      <c r="I122" s="888">
        <v>7638.8099999999995</v>
      </c>
      <c r="J122" s="889" t="s">
        <v>935</v>
      </c>
      <c r="K122" s="890">
        <f>+I122*VLOOKUP(J122,'Factores Emisión EDGE'!$K$228:$L$230,2,FALSE)/1000</f>
        <v>2.2962262859999996</v>
      </c>
      <c r="L122" s="900">
        <f t="shared" si="0"/>
        <v>0.42034972763889</v>
      </c>
      <c r="M122" s="431"/>
      <c r="N122" s="949" t="s">
        <v>103</v>
      </c>
      <c r="O122" s="949" t="s">
        <v>1176</v>
      </c>
      <c r="P122" s="950" t="s">
        <v>1158</v>
      </c>
      <c r="Q122" s="1455"/>
      <c r="R122" s="952">
        <v>12</v>
      </c>
      <c r="S122" s="952" t="s">
        <v>1159</v>
      </c>
      <c r="T122" s="949" t="s">
        <v>1177</v>
      </c>
      <c r="U122" s="949">
        <v>129</v>
      </c>
      <c r="V122" s="431"/>
    </row>
    <row r="123" spans="1:22" ht="14.25" customHeight="1">
      <c r="A123" s="883">
        <v>113</v>
      </c>
      <c r="B123" s="884" t="s">
        <v>948</v>
      </c>
      <c r="C123" s="885" t="s">
        <v>1178</v>
      </c>
      <c r="D123" s="886" t="s">
        <v>930</v>
      </c>
      <c r="E123" s="886" t="s">
        <v>1179</v>
      </c>
      <c r="F123" s="886" t="s">
        <v>943</v>
      </c>
      <c r="G123" s="886" t="s">
        <v>940</v>
      </c>
      <c r="H123" s="887" t="s">
        <v>934</v>
      </c>
      <c r="I123" s="888">
        <v>7608</v>
      </c>
      <c r="J123" s="889" t="s">
        <v>935</v>
      </c>
      <c r="K123" s="890">
        <f>+I123*VLOOKUP(J123,'Factores Emisión EDGE'!$K$228:$L$230,2,FALSE)/1000</f>
        <v>2.2869647999999998</v>
      </c>
      <c r="L123" s="900">
        <f t="shared" si="0"/>
        <v>0.41865430975200002</v>
      </c>
      <c r="M123" s="431"/>
      <c r="N123" s="955"/>
      <c r="O123" s="955"/>
      <c r="P123" s="956"/>
      <c r="Q123" s="957"/>
      <c r="R123" s="958">
        <v>9004854</v>
      </c>
      <c r="S123" s="1528" t="s">
        <v>1180</v>
      </c>
      <c r="T123" s="1392"/>
      <c r="U123" s="1392"/>
      <c r="V123" s="431" t="s">
        <v>1181</v>
      </c>
    </row>
    <row r="124" spans="1:22" ht="14.25" customHeight="1">
      <c r="A124" s="883">
        <v>114</v>
      </c>
      <c r="B124" s="884" t="s">
        <v>944</v>
      </c>
      <c r="C124" s="885" t="s">
        <v>1182</v>
      </c>
      <c r="D124" s="886" t="s">
        <v>930</v>
      </c>
      <c r="E124" s="886" t="s">
        <v>1183</v>
      </c>
      <c r="F124" s="886" t="s">
        <v>943</v>
      </c>
      <c r="G124" s="886" t="s">
        <v>940</v>
      </c>
      <c r="H124" s="887" t="s">
        <v>934</v>
      </c>
      <c r="I124" s="888">
        <v>7517.4193495077698</v>
      </c>
      <c r="J124" s="889" t="s">
        <v>935</v>
      </c>
      <c r="K124" s="890">
        <f>+I124*VLOOKUP(J124,'Factores Emisión EDGE'!$K$228:$L$230,2,FALSE)/1000</f>
        <v>2.2597362564620354</v>
      </c>
      <c r="L124" s="900">
        <f t="shared" si="0"/>
        <v>0.41366982240858363</v>
      </c>
      <c r="M124" s="431"/>
      <c r="N124" s="949"/>
      <c r="O124" s="949"/>
      <c r="P124" s="952"/>
      <c r="Q124" s="949"/>
      <c r="R124" s="949"/>
      <c r="S124" s="959" t="s">
        <v>1184</v>
      </c>
      <c r="T124" s="959" t="s">
        <v>87</v>
      </c>
      <c r="U124" s="960">
        <v>14295117</v>
      </c>
      <c r="V124" s="961" t="s">
        <v>1185</v>
      </c>
    </row>
    <row r="125" spans="1:22" ht="14.25" customHeight="1">
      <c r="A125" s="883">
        <v>115</v>
      </c>
      <c r="B125" s="884" t="s">
        <v>948</v>
      </c>
      <c r="C125" s="885" t="s">
        <v>1186</v>
      </c>
      <c r="D125" s="886" t="s">
        <v>930</v>
      </c>
      <c r="E125" s="886" t="s">
        <v>1187</v>
      </c>
      <c r="F125" s="886" t="s">
        <v>943</v>
      </c>
      <c r="G125" s="886" t="s">
        <v>940</v>
      </c>
      <c r="H125" s="887" t="s">
        <v>934</v>
      </c>
      <c r="I125" s="888">
        <v>7393.8700000000008</v>
      </c>
      <c r="J125" s="889" t="s">
        <v>935</v>
      </c>
      <c r="K125" s="890">
        <f>+I125*VLOOKUP(J125,'Factores Emisión EDGE'!$K$228:$L$230,2,FALSE)/1000</f>
        <v>2.2225973219999999</v>
      </c>
      <c r="L125" s="900">
        <f t="shared" si="0"/>
        <v>0.40687112792403007</v>
      </c>
      <c r="M125" s="432"/>
      <c r="N125" s="1529" t="s">
        <v>1188</v>
      </c>
      <c r="O125" s="1392"/>
      <c r="P125" s="1393"/>
      <c r="Q125" s="949"/>
      <c r="R125" s="949"/>
      <c r="S125" s="962" t="s">
        <v>1189</v>
      </c>
      <c r="T125" s="963" t="s">
        <v>1190</v>
      </c>
      <c r="U125" s="964">
        <v>0.7</v>
      </c>
      <c r="V125" s="431"/>
    </row>
    <row r="126" spans="1:22" ht="14.25" customHeight="1">
      <c r="A126" s="965">
        <v>116</v>
      </c>
      <c r="B126" s="884" t="s">
        <v>948</v>
      </c>
      <c r="C126" s="885" t="s">
        <v>1073</v>
      </c>
      <c r="D126" s="886" t="s">
        <v>1012</v>
      </c>
      <c r="E126" s="886" t="s">
        <v>1073</v>
      </c>
      <c r="F126" s="886" t="s">
        <v>993</v>
      </c>
      <c r="G126" s="886" t="s">
        <v>940</v>
      </c>
      <c r="H126" s="887" t="s">
        <v>934</v>
      </c>
      <c r="I126" s="888">
        <v>7380</v>
      </c>
      <c r="J126" s="889" t="s">
        <v>935</v>
      </c>
      <c r="K126" s="890">
        <f>+I126*VLOOKUP(J126,'Factores Emisión EDGE'!$K$228:$L$230,2,FALSE)/1000</f>
        <v>2.2184279999999998</v>
      </c>
      <c r="L126" s="900">
        <f t="shared" si="0"/>
        <v>0.40610788722000002</v>
      </c>
      <c r="M126" s="431"/>
      <c r="N126" s="962" t="s">
        <v>446</v>
      </c>
      <c r="O126" s="966" t="s">
        <v>1191</v>
      </c>
      <c r="P126" s="949"/>
      <c r="Q126" s="949"/>
      <c r="R126" s="949"/>
      <c r="S126" s="967" t="s">
        <v>183</v>
      </c>
      <c r="T126" s="968" t="s">
        <v>1024</v>
      </c>
      <c r="U126" s="969">
        <v>4917011</v>
      </c>
      <c r="V126" s="431"/>
    </row>
    <row r="127" spans="1:22" ht="14.25" customHeight="1">
      <c r="A127" s="883">
        <v>117</v>
      </c>
      <c r="B127" s="884" t="s">
        <v>948</v>
      </c>
      <c r="C127" s="885" t="s">
        <v>1192</v>
      </c>
      <c r="D127" s="886" t="s">
        <v>950</v>
      </c>
      <c r="E127" s="886" t="s">
        <v>1193</v>
      </c>
      <c r="F127" s="886" t="s">
        <v>1010</v>
      </c>
      <c r="G127" s="886" t="s">
        <v>940</v>
      </c>
      <c r="H127" s="887" t="s">
        <v>934</v>
      </c>
      <c r="I127" s="888">
        <v>7281</v>
      </c>
      <c r="J127" s="889" t="s">
        <v>935</v>
      </c>
      <c r="K127" s="890">
        <f>+I127*VLOOKUP(J127,'Factores Emisión EDGE'!$K$228:$L$230,2,FALSE)/1000</f>
        <v>2.1886686000000002</v>
      </c>
      <c r="L127" s="900">
        <f t="shared" si="0"/>
        <v>0.40066009848900003</v>
      </c>
      <c r="M127" s="431"/>
      <c r="N127" s="970">
        <v>1.16222E-3</v>
      </c>
      <c r="O127" s="971">
        <v>1</v>
      </c>
      <c r="P127" s="949"/>
      <c r="Q127" s="949"/>
      <c r="R127" s="949"/>
      <c r="S127" s="967" t="s">
        <v>183</v>
      </c>
      <c r="T127" s="968" t="s">
        <v>1194</v>
      </c>
      <c r="U127" s="969">
        <v>1425271</v>
      </c>
      <c r="V127" s="431"/>
    </row>
    <row r="128" spans="1:22" ht="14.25" customHeight="1">
      <c r="A128" s="883">
        <v>118</v>
      </c>
      <c r="B128" s="884" t="s">
        <v>948</v>
      </c>
      <c r="C128" s="885" t="s">
        <v>1195</v>
      </c>
      <c r="D128" s="886" t="s">
        <v>1070</v>
      </c>
      <c r="E128" s="886" t="s">
        <v>1071</v>
      </c>
      <c r="F128" s="886" t="s">
        <v>1003</v>
      </c>
      <c r="G128" s="886" t="s">
        <v>940</v>
      </c>
      <c r="H128" s="887" t="s">
        <v>934</v>
      </c>
      <c r="I128" s="888">
        <v>7268</v>
      </c>
      <c r="J128" s="889" t="s">
        <v>935</v>
      </c>
      <c r="K128" s="890">
        <f>+I128*VLOOKUP(J128,'Factores Emisión EDGE'!$K$228:$L$230,2,FALSE)/1000</f>
        <v>2.1847607999999998</v>
      </c>
      <c r="L128" s="900">
        <f t="shared" si="0"/>
        <v>0.399944732292</v>
      </c>
      <c r="M128" s="432"/>
      <c r="N128" s="972">
        <v>1</v>
      </c>
      <c r="O128" s="971">
        <v>860</v>
      </c>
      <c r="P128" s="949" t="s">
        <v>1196</v>
      </c>
      <c r="Q128" s="949"/>
      <c r="R128" s="949"/>
      <c r="S128" s="967" t="s">
        <v>1197</v>
      </c>
      <c r="T128" s="968" t="s">
        <v>1198</v>
      </c>
      <c r="U128" s="973">
        <v>0.28999999999999998</v>
      </c>
      <c r="V128" s="431"/>
    </row>
    <row r="129" spans="1:22" ht="14.25" customHeight="1">
      <c r="A129" s="883">
        <v>119</v>
      </c>
      <c r="B129" s="884" t="s">
        <v>944</v>
      </c>
      <c r="C129" s="885" t="s">
        <v>1199</v>
      </c>
      <c r="D129" s="886" t="s">
        <v>965</v>
      </c>
      <c r="E129" s="886" t="s">
        <v>1036</v>
      </c>
      <c r="F129" s="886" t="s">
        <v>1003</v>
      </c>
      <c r="G129" s="886" t="s">
        <v>940</v>
      </c>
      <c r="H129" s="887" t="s">
        <v>934</v>
      </c>
      <c r="I129" s="888">
        <v>7163</v>
      </c>
      <c r="J129" s="889" t="s">
        <v>935</v>
      </c>
      <c r="K129" s="890">
        <f>+I129*VLOOKUP(J129,'Factores Emisión EDGE'!$K$228:$L$230,2,FALSE)/1000</f>
        <v>2.1531978000000001</v>
      </c>
      <c r="L129" s="900">
        <f t="shared" si="0"/>
        <v>0.394166774547</v>
      </c>
      <c r="M129" s="431"/>
      <c r="N129" s="974" t="s">
        <v>1200</v>
      </c>
      <c r="O129" s="975" t="s">
        <v>446</v>
      </c>
      <c r="P129" s="949"/>
      <c r="Q129" s="949"/>
      <c r="R129" s="949"/>
      <c r="S129" s="967" t="s">
        <v>183</v>
      </c>
      <c r="T129" s="968" t="s">
        <v>1201</v>
      </c>
      <c r="U129" s="969">
        <v>9378106</v>
      </c>
      <c r="V129" s="431"/>
    </row>
    <row r="130" spans="1:22" ht="14.25" customHeight="1">
      <c r="A130" s="883">
        <v>120</v>
      </c>
      <c r="B130" s="884" t="s">
        <v>948</v>
      </c>
      <c r="C130" s="885" t="s">
        <v>1202</v>
      </c>
      <c r="D130" s="886" t="s">
        <v>930</v>
      </c>
      <c r="E130" s="886" t="s">
        <v>1086</v>
      </c>
      <c r="F130" s="886" t="s">
        <v>943</v>
      </c>
      <c r="G130" s="886" t="s">
        <v>940</v>
      </c>
      <c r="H130" s="887" t="s">
        <v>934</v>
      </c>
      <c r="I130" s="888">
        <v>6983.42</v>
      </c>
      <c r="J130" s="889" t="s">
        <v>935</v>
      </c>
      <c r="K130" s="890">
        <f>+I130*VLOOKUP(J130,'Factores Emisión EDGE'!$K$228:$L$230,2,FALSE)/1000</f>
        <v>2.0992160519999996</v>
      </c>
      <c r="L130" s="900">
        <f t="shared" si="0"/>
        <v>0.38428481595798003</v>
      </c>
      <c r="M130" s="431"/>
      <c r="N130" s="970">
        <v>1</v>
      </c>
      <c r="O130" s="971">
        <v>9.66</v>
      </c>
      <c r="P130" s="949" t="s">
        <v>1196</v>
      </c>
      <c r="Q130" s="949"/>
      <c r="R130" s="949"/>
      <c r="S130" s="967" t="s">
        <v>183</v>
      </c>
      <c r="T130" s="968" t="s">
        <v>1203</v>
      </c>
      <c r="U130" s="973">
        <v>0.02</v>
      </c>
      <c r="V130" s="431"/>
    </row>
    <row r="131" spans="1:22" ht="14.25" customHeight="1">
      <c r="A131" s="883">
        <v>121</v>
      </c>
      <c r="B131" s="884" t="s">
        <v>948</v>
      </c>
      <c r="C131" s="885" t="s">
        <v>1204</v>
      </c>
      <c r="D131" s="886" t="s">
        <v>930</v>
      </c>
      <c r="E131" s="886" t="s">
        <v>1205</v>
      </c>
      <c r="F131" s="886" t="s">
        <v>943</v>
      </c>
      <c r="G131" s="886" t="s">
        <v>940</v>
      </c>
      <c r="H131" s="887" t="s">
        <v>934</v>
      </c>
      <c r="I131" s="888">
        <v>6900.84</v>
      </c>
      <c r="J131" s="889" t="s">
        <v>935</v>
      </c>
      <c r="K131" s="890">
        <f>+I131*VLOOKUP(J131,'Factores Emisión EDGE'!$K$228:$L$230,2,FALSE)/1000</f>
        <v>2.074392504</v>
      </c>
      <c r="L131" s="900">
        <f t="shared" si="0"/>
        <v>0.37974058976196001</v>
      </c>
      <c r="M131" s="431"/>
      <c r="N131" s="967" t="s">
        <v>1206</v>
      </c>
      <c r="O131" s="975" t="s">
        <v>446</v>
      </c>
      <c r="P131" s="949"/>
      <c r="Q131" s="949"/>
      <c r="R131" s="949"/>
      <c r="S131" s="949"/>
      <c r="T131" s="949"/>
      <c r="U131" s="949"/>
      <c r="V131" s="431"/>
    </row>
    <row r="132" spans="1:22" ht="14.25" customHeight="1">
      <c r="A132" s="883">
        <v>122</v>
      </c>
      <c r="B132" s="884" t="s">
        <v>944</v>
      </c>
      <c r="C132" s="885" t="s">
        <v>1207</v>
      </c>
      <c r="D132" s="886" t="s">
        <v>1017</v>
      </c>
      <c r="E132" s="886" t="s">
        <v>1207</v>
      </c>
      <c r="F132" s="886" t="s">
        <v>1010</v>
      </c>
      <c r="G132" s="886" t="s">
        <v>940</v>
      </c>
      <c r="H132" s="887" t="s">
        <v>934</v>
      </c>
      <c r="I132" s="888">
        <v>6816</v>
      </c>
      <c r="J132" s="889" t="s">
        <v>935</v>
      </c>
      <c r="K132" s="890">
        <f>+I132*VLOOKUP(J132,'Factores Emisión EDGE'!$K$228:$L$230,2,FALSE)/1000</f>
        <v>2.0488895999999999</v>
      </c>
      <c r="L132" s="900">
        <f t="shared" si="0"/>
        <v>0.37507199990399998</v>
      </c>
      <c r="M132" s="431"/>
      <c r="N132" s="970">
        <v>1</v>
      </c>
      <c r="O132" s="971">
        <v>10.86</v>
      </c>
      <c r="P132" s="1536" t="s">
        <v>1208</v>
      </c>
      <c r="Q132" s="1396"/>
      <c r="R132" s="1396"/>
      <c r="S132" s="1396"/>
      <c r="T132" s="949"/>
      <c r="U132" s="949"/>
      <c r="V132" s="431"/>
    </row>
    <row r="133" spans="1:22" ht="14.25" customHeight="1">
      <c r="A133" s="883">
        <v>123</v>
      </c>
      <c r="B133" s="884" t="s">
        <v>944</v>
      </c>
      <c r="C133" s="885" t="s">
        <v>1209</v>
      </c>
      <c r="D133" s="886" t="s">
        <v>930</v>
      </c>
      <c r="E133" s="886" t="s">
        <v>1053</v>
      </c>
      <c r="F133" s="886" t="s">
        <v>943</v>
      </c>
      <c r="G133" s="886" t="s">
        <v>940</v>
      </c>
      <c r="H133" s="887" t="s">
        <v>934</v>
      </c>
      <c r="I133" s="888">
        <v>6706.7791949359998</v>
      </c>
      <c r="J133" s="889" t="s">
        <v>935</v>
      </c>
      <c r="K133" s="890">
        <f>+I133*VLOOKUP(J133,'Factores Emisión EDGE'!$K$228:$L$230,2,FALSE)/1000</f>
        <v>2.0160578259977613</v>
      </c>
      <c r="L133" s="900">
        <f t="shared" si="0"/>
        <v>0.36906177898462217</v>
      </c>
      <c r="M133" s="431"/>
      <c r="N133" s="431"/>
      <c r="O133" s="431"/>
      <c r="P133" s="431"/>
      <c r="Q133" s="431"/>
      <c r="R133" s="431"/>
      <c r="S133" s="431"/>
      <c r="T133" s="431"/>
      <c r="U133" s="431"/>
      <c r="V133" s="431"/>
    </row>
    <row r="134" spans="1:22" ht="14.25" customHeight="1">
      <c r="A134" s="883">
        <v>124</v>
      </c>
      <c r="B134" s="884" t="s">
        <v>948</v>
      </c>
      <c r="C134" s="885" t="s">
        <v>1210</v>
      </c>
      <c r="D134" s="886" t="s">
        <v>930</v>
      </c>
      <c r="E134" s="886" t="s">
        <v>939</v>
      </c>
      <c r="F134" s="886" t="s">
        <v>943</v>
      </c>
      <c r="G134" s="886" t="s">
        <v>940</v>
      </c>
      <c r="H134" s="887" t="s">
        <v>934</v>
      </c>
      <c r="I134" s="888">
        <v>6650.8685506231586</v>
      </c>
      <c r="J134" s="889" t="s">
        <v>935</v>
      </c>
      <c r="K134" s="890">
        <f>+I134*VLOOKUP(J134,'Factores Emisión EDGE'!$K$228:$L$230,2,FALSE)/1000</f>
        <v>1.9992510863173214</v>
      </c>
      <c r="L134" s="900">
        <f t="shared" si="0"/>
        <v>0.36598511860047628</v>
      </c>
      <c r="M134" s="431"/>
      <c r="N134" s="431"/>
      <c r="O134" s="431"/>
      <c r="P134" s="431"/>
      <c r="Q134" s="431"/>
      <c r="R134" s="431"/>
      <c r="S134" s="431"/>
      <c r="T134" s="431"/>
      <c r="U134" s="431"/>
      <c r="V134" s="431"/>
    </row>
    <row r="135" spans="1:22" ht="14.25" customHeight="1">
      <c r="A135" s="883">
        <v>125</v>
      </c>
      <c r="B135" s="884" t="s">
        <v>948</v>
      </c>
      <c r="C135" s="885" t="s">
        <v>1211</v>
      </c>
      <c r="D135" s="886" t="s">
        <v>930</v>
      </c>
      <c r="E135" s="886" t="s">
        <v>986</v>
      </c>
      <c r="F135" s="886" t="s">
        <v>943</v>
      </c>
      <c r="G135" s="886" t="s">
        <v>940</v>
      </c>
      <c r="H135" s="887" t="s">
        <v>934</v>
      </c>
      <c r="I135" s="888">
        <v>6624</v>
      </c>
      <c r="J135" s="889" t="s">
        <v>935</v>
      </c>
      <c r="K135" s="890">
        <f>+I135*VLOOKUP(J135,'Factores Emisión EDGE'!$K$228:$L$230,2,FALSE)/1000</f>
        <v>1.9911743999999998</v>
      </c>
      <c r="L135" s="900">
        <f t="shared" si="0"/>
        <v>0.36450659145600001</v>
      </c>
      <c r="M135" s="431"/>
      <c r="N135" s="431"/>
      <c r="O135" s="431"/>
      <c r="P135" s="431"/>
      <c r="Q135" s="431"/>
      <c r="R135" s="431"/>
      <c r="S135" s="431"/>
      <c r="T135" s="431"/>
      <c r="U135" s="431"/>
      <c r="V135" s="431"/>
    </row>
    <row r="136" spans="1:22" ht="14.25" customHeight="1">
      <c r="A136" s="883">
        <v>126</v>
      </c>
      <c r="B136" s="884" t="s">
        <v>948</v>
      </c>
      <c r="C136" s="885" t="s">
        <v>1212</v>
      </c>
      <c r="D136" s="886" t="s">
        <v>950</v>
      </c>
      <c r="E136" s="886" t="s">
        <v>1009</v>
      </c>
      <c r="F136" s="886" t="s">
        <v>1010</v>
      </c>
      <c r="G136" s="886" t="s">
        <v>940</v>
      </c>
      <c r="H136" s="887" t="s">
        <v>934</v>
      </c>
      <c r="I136" s="888">
        <v>6609</v>
      </c>
      <c r="J136" s="889" t="s">
        <v>935</v>
      </c>
      <c r="K136" s="890">
        <f>+I136*VLOOKUP(J136,'Factores Emisión EDGE'!$K$228:$L$230,2,FALSE)/1000</f>
        <v>1.9866653999999999</v>
      </c>
      <c r="L136" s="900">
        <f t="shared" si="0"/>
        <v>0.363681168921</v>
      </c>
      <c r="M136" s="431"/>
      <c r="N136" s="431"/>
      <c r="O136" s="431"/>
      <c r="P136" s="431"/>
      <c r="Q136" s="431"/>
      <c r="R136" s="431"/>
      <c r="S136" s="431"/>
      <c r="T136" s="431"/>
      <c r="U136" s="431"/>
      <c r="V136" s="431"/>
    </row>
    <row r="137" spans="1:22" ht="14.25" customHeight="1">
      <c r="A137" s="883">
        <v>127</v>
      </c>
      <c r="B137" s="884" t="s">
        <v>944</v>
      </c>
      <c r="C137" s="885" t="s">
        <v>1213</v>
      </c>
      <c r="D137" s="886" t="s">
        <v>1017</v>
      </c>
      <c r="E137" s="886" t="s">
        <v>1213</v>
      </c>
      <c r="F137" s="886" t="s">
        <v>1010</v>
      </c>
      <c r="G137" s="886" t="s">
        <v>940</v>
      </c>
      <c r="H137" s="887" t="s">
        <v>934</v>
      </c>
      <c r="I137" s="888">
        <v>6598</v>
      </c>
      <c r="J137" s="889" t="s">
        <v>935</v>
      </c>
      <c r="K137" s="890">
        <f>+I137*VLOOKUP(J137,'Factores Emisión EDGE'!$K$228:$L$230,2,FALSE)/1000</f>
        <v>1.9833587999999998</v>
      </c>
      <c r="L137" s="900">
        <f t="shared" si="0"/>
        <v>0.36307585906200002</v>
      </c>
      <c r="M137" s="431"/>
      <c r="N137" s="431"/>
      <c r="O137" s="431"/>
      <c r="P137" s="431"/>
      <c r="Q137" s="431"/>
      <c r="R137" s="431"/>
      <c r="S137" s="431"/>
      <c r="T137" s="431"/>
      <c r="U137" s="431"/>
      <c r="V137" s="431"/>
    </row>
    <row r="138" spans="1:22" ht="14.25" customHeight="1">
      <c r="A138" s="883">
        <v>128</v>
      </c>
      <c r="B138" s="884" t="s">
        <v>948</v>
      </c>
      <c r="C138" s="885" t="s">
        <v>1214</v>
      </c>
      <c r="D138" s="886" t="s">
        <v>1017</v>
      </c>
      <c r="E138" s="886" t="s">
        <v>1094</v>
      </c>
      <c r="F138" s="886" t="s">
        <v>1010</v>
      </c>
      <c r="G138" s="886" t="s">
        <v>940</v>
      </c>
      <c r="H138" s="887" t="s">
        <v>934</v>
      </c>
      <c r="I138" s="888">
        <v>6577</v>
      </c>
      <c r="J138" s="889" t="s">
        <v>935</v>
      </c>
      <c r="K138" s="890">
        <f>+I138*VLOOKUP(J138,'Factores Emisión EDGE'!$K$228:$L$230,2,FALSE)/1000</f>
        <v>1.9770461999999998</v>
      </c>
      <c r="L138" s="900">
        <f t="shared" si="0"/>
        <v>0.36192026751299999</v>
      </c>
      <c r="M138" s="431"/>
      <c r="N138" s="431"/>
      <c r="O138" s="431"/>
      <c r="P138" s="431"/>
      <c r="Q138" s="431"/>
      <c r="R138" s="431"/>
      <c r="S138" s="431"/>
      <c r="T138" s="431"/>
      <c r="U138" s="431"/>
      <c r="V138" s="431"/>
    </row>
    <row r="139" spans="1:22" ht="14.25" customHeight="1">
      <c r="A139" s="883">
        <v>129</v>
      </c>
      <c r="B139" s="884" t="s">
        <v>948</v>
      </c>
      <c r="C139" s="885" t="s">
        <v>1215</v>
      </c>
      <c r="D139" s="886" t="s">
        <v>930</v>
      </c>
      <c r="E139" s="886" t="s">
        <v>986</v>
      </c>
      <c r="F139" s="886" t="s">
        <v>943</v>
      </c>
      <c r="G139" s="886" t="s">
        <v>940</v>
      </c>
      <c r="H139" s="887" t="s">
        <v>934</v>
      </c>
      <c r="I139" s="888">
        <v>6492</v>
      </c>
      <c r="J139" s="889" t="s">
        <v>935</v>
      </c>
      <c r="K139" s="890">
        <f>+I139*VLOOKUP(J139,'Factores Emisión EDGE'!$K$228:$L$230,2,FALSE)/1000</f>
        <v>1.9514951999999999</v>
      </c>
      <c r="L139" s="900">
        <f t="shared" si="0"/>
        <v>0.35724287314800002</v>
      </c>
      <c r="M139" s="431"/>
      <c r="N139" s="431"/>
      <c r="O139" s="431"/>
      <c r="P139" s="431"/>
      <c r="Q139" s="431"/>
      <c r="R139" s="431"/>
      <c r="S139" s="431"/>
      <c r="T139" s="431"/>
      <c r="U139" s="431"/>
      <c r="V139" s="431"/>
    </row>
    <row r="140" spans="1:22" ht="14.25" customHeight="1">
      <c r="A140" s="883">
        <v>130</v>
      </c>
      <c r="B140" s="884" t="s">
        <v>948</v>
      </c>
      <c r="C140" s="885" t="s">
        <v>1216</v>
      </c>
      <c r="D140" s="886" t="s">
        <v>999</v>
      </c>
      <c r="E140" s="886" t="s">
        <v>1134</v>
      </c>
      <c r="F140" s="886" t="s">
        <v>1003</v>
      </c>
      <c r="G140" s="886" t="s">
        <v>940</v>
      </c>
      <c r="H140" s="887" t="s">
        <v>934</v>
      </c>
      <c r="I140" s="888">
        <v>6360</v>
      </c>
      <c r="J140" s="889" t="s">
        <v>935</v>
      </c>
      <c r="K140" s="890">
        <f>+I140*VLOOKUP(J140,'Factores Emisión EDGE'!$K$228:$L$230,2,FALSE)/1000</f>
        <v>1.9118159999999997</v>
      </c>
      <c r="L140" s="900">
        <f t="shared" si="0"/>
        <v>0.34997915484000003</v>
      </c>
      <c r="M140" s="431"/>
      <c r="N140" s="431"/>
      <c r="O140" s="431"/>
      <c r="P140" s="431"/>
      <c r="Q140" s="431"/>
      <c r="R140" s="431"/>
      <c r="S140" s="431"/>
      <c r="T140" s="431"/>
      <c r="U140" s="431"/>
      <c r="V140" s="431"/>
    </row>
    <row r="141" spans="1:22" ht="14.25" customHeight="1">
      <c r="A141" s="965">
        <v>131</v>
      </c>
      <c r="B141" s="884" t="s">
        <v>948</v>
      </c>
      <c r="C141" s="885" t="s">
        <v>1217</v>
      </c>
      <c r="D141" s="886" t="s">
        <v>930</v>
      </c>
      <c r="E141" s="886" t="s">
        <v>1031</v>
      </c>
      <c r="F141" s="886" t="s">
        <v>943</v>
      </c>
      <c r="G141" s="886" t="s">
        <v>940</v>
      </c>
      <c r="H141" s="887" t="s">
        <v>934</v>
      </c>
      <c r="I141" s="888">
        <v>6311.6882401693965</v>
      </c>
      <c r="J141" s="889" t="s">
        <v>935</v>
      </c>
      <c r="K141" s="890">
        <f>+I141*VLOOKUP(J141,'Factores Emisión EDGE'!$K$228:$L$230,2,FALSE)/1000</f>
        <v>1.8972934849949203</v>
      </c>
      <c r="L141" s="900">
        <f t="shared" si="0"/>
        <v>0.34732064715535416</v>
      </c>
      <c r="M141" s="431"/>
      <c r="N141" s="431"/>
      <c r="O141" s="431"/>
      <c r="P141" s="431"/>
      <c r="Q141" s="431"/>
      <c r="R141" s="431"/>
      <c r="S141" s="431"/>
      <c r="T141" s="431"/>
      <c r="U141" s="431"/>
      <c r="V141" s="431"/>
    </row>
    <row r="142" spans="1:22" ht="14.25" customHeight="1">
      <c r="A142" s="883">
        <v>132</v>
      </c>
      <c r="B142" s="884" t="s">
        <v>948</v>
      </c>
      <c r="C142" s="885" t="s">
        <v>1218</v>
      </c>
      <c r="D142" s="886" t="s">
        <v>950</v>
      </c>
      <c r="E142" s="886" t="s">
        <v>1009</v>
      </c>
      <c r="F142" s="886" t="s">
        <v>1010</v>
      </c>
      <c r="G142" s="886" t="s">
        <v>940</v>
      </c>
      <c r="H142" s="887" t="s">
        <v>934</v>
      </c>
      <c r="I142" s="888">
        <v>6214</v>
      </c>
      <c r="J142" s="889" t="s">
        <v>935</v>
      </c>
      <c r="K142" s="890">
        <f>+I142*VLOOKUP(J142,'Factores Emisión EDGE'!$K$228:$L$230,2,FALSE)/1000</f>
        <v>1.8679283999999998</v>
      </c>
      <c r="L142" s="900">
        <f t="shared" si="0"/>
        <v>0.34194504216600002</v>
      </c>
      <c r="M142" s="431"/>
      <c r="N142" s="431"/>
      <c r="O142" s="431"/>
      <c r="P142" s="431"/>
      <c r="Q142" s="431"/>
      <c r="R142" s="431"/>
      <c r="S142" s="431"/>
      <c r="T142" s="431"/>
      <c r="U142" s="431"/>
      <c r="V142" s="431"/>
    </row>
    <row r="143" spans="1:22" ht="14.25" customHeight="1">
      <c r="A143" s="883">
        <v>133</v>
      </c>
      <c r="B143" s="884" t="s">
        <v>948</v>
      </c>
      <c r="C143" s="885" t="s">
        <v>1219</v>
      </c>
      <c r="D143" s="886" t="s">
        <v>930</v>
      </c>
      <c r="E143" s="886" t="s">
        <v>1187</v>
      </c>
      <c r="F143" s="886" t="s">
        <v>943</v>
      </c>
      <c r="G143" s="886" t="s">
        <v>940</v>
      </c>
      <c r="H143" s="887" t="s">
        <v>934</v>
      </c>
      <c r="I143" s="888">
        <v>6080.07</v>
      </c>
      <c r="J143" s="889" t="s">
        <v>935</v>
      </c>
      <c r="K143" s="890">
        <f>+I143*VLOOKUP(J143,'Factores Emisión EDGE'!$K$228:$L$230,2,FALSE)/1000</f>
        <v>1.8276690419999997</v>
      </c>
      <c r="L143" s="900">
        <f t="shared" si="0"/>
        <v>0.33457511949183</v>
      </c>
      <c r="M143" s="431"/>
      <c r="N143" s="431"/>
      <c r="O143" s="431"/>
      <c r="P143" s="431"/>
      <c r="Q143" s="431"/>
      <c r="R143" s="431"/>
      <c r="S143" s="431"/>
      <c r="T143" s="431"/>
      <c r="U143" s="431"/>
      <c r="V143" s="431"/>
    </row>
    <row r="144" spans="1:22" ht="14.25" customHeight="1">
      <c r="A144" s="883">
        <v>134</v>
      </c>
      <c r="B144" s="884" t="s">
        <v>944</v>
      </c>
      <c r="C144" s="885" t="s">
        <v>1220</v>
      </c>
      <c r="D144" s="886" t="s">
        <v>930</v>
      </c>
      <c r="E144" s="886" t="s">
        <v>1220</v>
      </c>
      <c r="F144" s="886" t="s">
        <v>943</v>
      </c>
      <c r="G144" s="886" t="s">
        <v>940</v>
      </c>
      <c r="H144" s="887" t="s">
        <v>934</v>
      </c>
      <c r="I144" s="888">
        <v>6035.0700000000006</v>
      </c>
      <c r="J144" s="889" t="s">
        <v>935</v>
      </c>
      <c r="K144" s="890">
        <f>+I144*VLOOKUP(J144,'Factores Emisión EDGE'!$K$228:$L$230,2,FALSE)/1000</f>
        <v>1.8141420419999998</v>
      </c>
      <c r="L144" s="900">
        <f t="shared" si="0"/>
        <v>0.33209885188683008</v>
      </c>
      <c r="M144" s="431"/>
      <c r="N144" s="431"/>
      <c r="O144" s="431"/>
      <c r="P144" s="431"/>
      <c r="Q144" s="431"/>
      <c r="R144" s="431"/>
      <c r="S144" s="431"/>
      <c r="T144" s="431"/>
      <c r="U144" s="431"/>
      <c r="V144" s="431"/>
    </row>
    <row r="145" spans="1:12" ht="14.25" customHeight="1">
      <c r="A145" s="883">
        <v>135</v>
      </c>
      <c r="B145" s="884" t="s">
        <v>948</v>
      </c>
      <c r="C145" s="885" t="s">
        <v>1221</v>
      </c>
      <c r="D145" s="886" t="s">
        <v>950</v>
      </c>
      <c r="E145" s="886" t="s">
        <v>1009</v>
      </c>
      <c r="F145" s="886" t="s">
        <v>1010</v>
      </c>
      <c r="G145" s="886" t="s">
        <v>940</v>
      </c>
      <c r="H145" s="887" t="s">
        <v>934</v>
      </c>
      <c r="I145" s="888">
        <v>5996.727272727273</v>
      </c>
      <c r="J145" s="889" t="s">
        <v>935</v>
      </c>
      <c r="K145" s="890">
        <f>+I145*VLOOKUP(J145,'Factores Emisión EDGE'!$K$228:$L$230,2,FALSE)/1000</f>
        <v>1.8026162181818182</v>
      </c>
      <c r="L145" s="900">
        <f t="shared" si="0"/>
        <v>0.32998892181054551</v>
      </c>
    </row>
    <row r="146" spans="1:12" ht="14.25" customHeight="1">
      <c r="A146" s="883">
        <v>136</v>
      </c>
      <c r="B146" s="884" t="s">
        <v>948</v>
      </c>
      <c r="C146" s="885" t="s">
        <v>1222</v>
      </c>
      <c r="D146" s="886" t="s">
        <v>946</v>
      </c>
      <c r="E146" s="886" t="s">
        <v>1124</v>
      </c>
      <c r="F146" s="886" t="s">
        <v>947</v>
      </c>
      <c r="G146" s="886" t="s">
        <v>940</v>
      </c>
      <c r="H146" s="887" t="s">
        <v>934</v>
      </c>
      <c r="I146" s="888">
        <v>5992</v>
      </c>
      <c r="J146" s="889" t="s">
        <v>935</v>
      </c>
      <c r="K146" s="890">
        <f>+I146*VLOOKUP(J146,'Factores Emisión EDGE'!$K$228:$L$230,2,FALSE)/1000</f>
        <v>1.8011952</v>
      </c>
      <c r="L146" s="900">
        <f t="shared" si="0"/>
        <v>0.32972878864800004</v>
      </c>
    </row>
    <row r="147" spans="1:12" ht="14.25" customHeight="1">
      <c r="A147" s="883">
        <v>137</v>
      </c>
      <c r="B147" s="884" t="s">
        <v>948</v>
      </c>
      <c r="C147" s="885" t="s">
        <v>1223</v>
      </c>
      <c r="D147" s="886" t="s">
        <v>930</v>
      </c>
      <c r="E147" s="886" t="s">
        <v>1059</v>
      </c>
      <c r="F147" s="886" t="s">
        <v>943</v>
      </c>
      <c r="G147" s="886" t="s">
        <v>940</v>
      </c>
      <c r="H147" s="887" t="s">
        <v>934</v>
      </c>
      <c r="I147" s="888">
        <v>5941.4000000000005</v>
      </c>
      <c r="J147" s="889" t="s">
        <v>935</v>
      </c>
      <c r="K147" s="890">
        <f>+I147*VLOOKUP(J147,'Factores Emisión EDGE'!$K$228:$L$230,2,FALSE)/1000</f>
        <v>1.78598484</v>
      </c>
      <c r="L147" s="900">
        <f t="shared" si="0"/>
        <v>0.32694436329660004</v>
      </c>
    </row>
    <row r="148" spans="1:12" ht="14.25" customHeight="1">
      <c r="A148" s="883">
        <v>138</v>
      </c>
      <c r="B148" s="884" t="s">
        <v>948</v>
      </c>
      <c r="C148" s="885" t="s">
        <v>1224</v>
      </c>
      <c r="D148" s="886" t="s">
        <v>950</v>
      </c>
      <c r="E148" s="886" t="s">
        <v>1009</v>
      </c>
      <c r="F148" s="886" t="s">
        <v>1010</v>
      </c>
      <c r="G148" s="886" t="s">
        <v>940</v>
      </c>
      <c r="H148" s="887" t="s">
        <v>934</v>
      </c>
      <c r="I148" s="888">
        <v>5838</v>
      </c>
      <c r="J148" s="889" t="s">
        <v>935</v>
      </c>
      <c r="K148" s="890">
        <f>+I148*VLOOKUP(J148,'Factores Emisión EDGE'!$K$228:$L$230,2,FALSE)/1000</f>
        <v>1.7549027999999998</v>
      </c>
      <c r="L148" s="900">
        <f t="shared" si="0"/>
        <v>0.32125445062200003</v>
      </c>
    </row>
    <row r="149" spans="1:12" ht="14.25" customHeight="1">
      <c r="A149" s="883">
        <v>139</v>
      </c>
      <c r="B149" s="884" t="s">
        <v>948</v>
      </c>
      <c r="C149" s="885" t="s">
        <v>1225</v>
      </c>
      <c r="D149" s="886" t="s">
        <v>930</v>
      </c>
      <c r="E149" s="886" t="s">
        <v>1056</v>
      </c>
      <c r="F149" s="886" t="s">
        <v>943</v>
      </c>
      <c r="G149" s="886" t="s">
        <v>940</v>
      </c>
      <c r="H149" s="887" t="s">
        <v>934</v>
      </c>
      <c r="I149" s="888">
        <v>5728.13</v>
      </c>
      <c r="J149" s="889" t="s">
        <v>935</v>
      </c>
      <c r="K149" s="890">
        <f>+I149*VLOOKUP(J149,'Factores Emisión EDGE'!$K$228:$L$230,2,FALSE)/1000</f>
        <v>1.7218758779999999</v>
      </c>
      <c r="L149" s="900">
        <f t="shared" si="0"/>
        <v>0.31520850569397002</v>
      </c>
    </row>
    <row r="150" spans="1:12" ht="14.25" customHeight="1">
      <c r="A150" s="883">
        <v>140</v>
      </c>
      <c r="B150" s="884" t="s">
        <v>948</v>
      </c>
      <c r="C150" s="885" t="s">
        <v>1226</v>
      </c>
      <c r="D150" s="886" t="s">
        <v>946</v>
      </c>
      <c r="E150" s="886" t="s">
        <v>979</v>
      </c>
      <c r="F150" s="886" t="s">
        <v>947</v>
      </c>
      <c r="G150" s="886" t="s">
        <v>940</v>
      </c>
      <c r="H150" s="887" t="s">
        <v>934</v>
      </c>
      <c r="I150" s="888">
        <v>5621</v>
      </c>
      <c r="J150" s="889" t="s">
        <v>935</v>
      </c>
      <c r="K150" s="890">
        <f>+I150*VLOOKUP(J150,'Factores Emisión EDGE'!$K$228:$L$230,2,FALSE)/1000</f>
        <v>1.6896726</v>
      </c>
      <c r="L150" s="900">
        <f t="shared" si="0"/>
        <v>0.30931333794900001</v>
      </c>
    </row>
    <row r="151" spans="1:12" ht="14.25" customHeight="1">
      <c r="A151" s="883">
        <v>141</v>
      </c>
      <c r="B151" s="884" t="s">
        <v>948</v>
      </c>
      <c r="C151" s="885" t="s">
        <v>1227</v>
      </c>
      <c r="D151" s="886" t="s">
        <v>930</v>
      </c>
      <c r="E151" s="886" t="s">
        <v>1228</v>
      </c>
      <c r="F151" s="886" t="s">
        <v>943</v>
      </c>
      <c r="G151" s="886" t="s">
        <v>940</v>
      </c>
      <c r="H151" s="887" t="s">
        <v>934</v>
      </c>
      <c r="I151" s="888">
        <v>5579.2</v>
      </c>
      <c r="J151" s="889" t="s">
        <v>935</v>
      </c>
      <c r="K151" s="890">
        <f>+I151*VLOOKUP(J151,'Factores Emisión EDGE'!$K$228:$L$230,2,FALSE)/1000</f>
        <v>1.6771075199999999</v>
      </c>
      <c r="L151" s="900">
        <f t="shared" si="0"/>
        <v>0.30701316048479999</v>
      </c>
    </row>
    <row r="152" spans="1:12" ht="14.25" customHeight="1">
      <c r="A152" s="883">
        <v>142</v>
      </c>
      <c r="B152" s="884" t="s">
        <v>948</v>
      </c>
      <c r="C152" s="885" t="s">
        <v>1229</v>
      </c>
      <c r="D152" s="886" t="s">
        <v>930</v>
      </c>
      <c r="E152" s="886" t="s">
        <v>1059</v>
      </c>
      <c r="F152" s="886" t="s">
        <v>943</v>
      </c>
      <c r="G152" s="886" t="s">
        <v>940</v>
      </c>
      <c r="H152" s="887" t="s">
        <v>934</v>
      </c>
      <c r="I152" s="888">
        <v>5578.978433973869</v>
      </c>
      <c r="J152" s="889" t="s">
        <v>935</v>
      </c>
      <c r="K152" s="890">
        <f>+I152*VLOOKUP(J152,'Factores Emisión EDGE'!$K$228:$L$230,2,FALSE)/1000</f>
        <v>1.6770409172525449</v>
      </c>
      <c r="L152" s="900">
        <f t="shared" si="0"/>
        <v>0.30700096811206939</v>
      </c>
    </row>
    <row r="153" spans="1:12" ht="14.25" customHeight="1">
      <c r="A153" s="883">
        <v>143</v>
      </c>
      <c r="B153" s="943" t="s">
        <v>948</v>
      </c>
      <c r="C153" s="885" t="s">
        <v>1230</v>
      </c>
      <c r="D153" s="885" t="s">
        <v>930</v>
      </c>
      <c r="E153" s="885" t="s">
        <v>1231</v>
      </c>
      <c r="F153" s="885" t="s">
        <v>943</v>
      </c>
      <c r="G153" s="885" t="s">
        <v>940</v>
      </c>
      <c r="H153" s="944" t="s">
        <v>934</v>
      </c>
      <c r="I153" s="888">
        <v>5556</v>
      </c>
      <c r="J153" s="889" t="s">
        <v>935</v>
      </c>
      <c r="K153" s="890">
        <f>+I153*VLOOKUP(J153,'Factores Emisión EDGE'!$K$228:$L$230,2,FALSE)/1000</f>
        <v>1.6701336</v>
      </c>
      <c r="L153" s="900">
        <f t="shared" si="0"/>
        <v>0.30573650696400001</v>
      </c>
    </row>
    <row r="154" spans="1:12" ht="14.25" customHeight="1">
      <c r="A154" s="883">
        <v>144</v>
      </c>
      <c r="B154" s="884" t="s">
        <v>948</v>
      </c>
      <c r="C154" s="885" t="s">
        <v>1232</v>
      </c>
      <c r="D154" s="886" t="s">
        <v>930</v>
      </c>
      <c r="E154" s="886" t="s">
        <v>1233</v>
      </c>
      <c r="F154" s="886" t="s">
        <v>943</v>
      </c>
      <c r="G154" s="886" t="s">
        <v>940</v>
      </c>
      <c r="H154" s="887" t="s">
        <v>934</v>
      </c>
      <c r="I154" s="888">
        <v>5555.2599999999993</v>
      </c>
      <c r="J154" s="889" t="s">
        <v>935</v>
      </c>
      <c r="K154" s="890">
        <f>+I154*VLOOKUP(J154,'Factores Emisión EDGE'!$K$228:$L$230,2,FALSE)/1000</f>
        <v>1.6699111559999997</v>
      </c>
      <c r="L154" s="900">
        <f t="shared" si="0"/>
        <v>0.30569578611893994</v>
      </c>
    </row>
    <row r="155" spans="1:12" ht="14.25" customHeight="1">
      <c r="A155" s="883">
        <v>145</v>
      </c>
      <c r="B155" s="884" t="s">
        <v>948</v>
      </c>
      <c r="C155" s="885" t="s">
        <v>1234</v>
      </c>
      <c r="D155" s="886" t="s">
        <v>930</v>
      </c>
      <c r="E155" s="886" t="s">
        <v>1235</v>
      </c>
      <c r="F155" s="886" t="s">
        <v>943</v>
      </c>
      <c r="G155" s="886" t="s">
        <v>940</v>
      </c>
      <c r="H155" s="887" t="s">
        <v>934</v>
      </c>
      <c r="I155" s="888">
        <v>5436</v>
      </c>
      <c r="J155" s="889" t="s">
        <v>935</v>
      </c>
      <c r="K155" s="890">
        <f>+I155*VLOOKUP(J155,'Factores Emisión EDGE'!$K$228:$L$230,2,FALSE)/1000</f>
        <v>1.6340615999999997</v>
      </c>
      <c r="L155" s="900">
        <f t="shared" si="0"/>
        <v>0.29913312668399999</v>
      </c>
    </row>
    <row r="156" spans="1:12" ht="14.25" customHeight="1">
      <c r="A156" s="883">
        <v>146</v>
      </c>
      <c r="B156" s="884" t="s">
        <v>948</v>
      </c>
      <c r="C156" s="885" t="s">
        <v>1236</v>
      </c>
      <c r="D156" s="886" t="s">
        <v>930</v>
      </c>
      <c r="E156" s="886" t="s">
        <v>1237</v>
      </c>
      <c r="F156" s="886" t="s">
        <v>943</v>
      </c>
      <c r="G156" s="886" t="s">
        <v>940</v>
      </c>
      <c r="H156" s="887" t="s">
        <v>934</v>
      </c>
      <c r="I156" s="888">
        <v>5424</v>
      </c>
      <c r="J156" s="889" t="s">
        <v>935</v>
      </c>
      <c r="K156" s="890">
        <f>+I156*VLOOKUP(J156,'Factores Emisión EDGE'!$K$228:$L$230,2,FALSE)/1000</f>
        <v>1.6304543999999999</v>
      </c>
      <c r="L156" s="900">
        <f t="shared" si="0"/>
        <v>0.29847278865600002</v>
      </c>
    </row>
    <row r="157" spans="1:12" ht="14.25" customHeight="1">
      <c r="A157" s="883">
        <v>147</v>
      </c>
      <c r="B157" s="884" t="s">
        <v>948</v>
      </c>
      <c r="C157" s="885" t="s">
        <v>1238</v>
      </c>
      <c r="D157" s="886" t="s">
        <v>991</v>
      </c>
      <c r="E157" s="886" t="s">
        <v>1067</v>
      </c>
      <c r="F157" s="886" t="s">
        <v>993</v>
      </c>
      <c r="G157" s="886" t="s">
        <v>940</v>
      </c>
      <c r="H157" s="887" t="s">
        <v>934</v>
      </c>
      <c r="I157" s="888">
        <v>5337</v>
      </c>
      <c r="J157" s="889" t="s">
        <v>935</v>
      </c>
      <c r="K157" s="890">
        <f>+I157*VLOOKUP(J157,'Factores Emisión EDGE'!$K$228:$L$230,2,FALSE)/1000</f>
        <v>1.6043021999999998</v>
      </c>
      <c r="L157" s="900">
        <f t="shared" si="0"/>
        <v>0.293685337953</v>
      </c>
    </row>
    <row r="158" spans="1:12" ht="14.25" customHeight="1">
      <c r="A158" s="883">
        <v>148</v>
      </c>
      <c r="B158" s="884" t="s">
        <v>948</v>
      </c>
      <c r="C158" s="885" t="s">
        <v>1239</v>
      </c>
      <c r="D158" s="886" t="s">
        <v>946</v>
      </c>
      <c r="E158" s="886" t="s">
        <v>1239</v>
      </c>
      <c r="F158" s="886" t="s">
        <v>947</v>
      </c>
      <c r="G158" s="886" t="s">
        <v>940</v>
      </c>
      <c r="H158" s="887" t="s">
        <v>934</v>
      </c>
      <c r="I158" s="888">
        <v>5328</v>
      </c>
      <c r="J158" s="889" t="s">
        <v>935</v>
      </c>
      <c r="K158" s="890">
        <f>+I158*VLOOKUP(J158,'Factores Emisión EDGE'!$K$228:$L$230,2,FALSE)/1000</f>
        <v>1.6015967999999998</v>
      </c>
      <c r="L158" s="900">
        <f t="shared" si="0"/>
        <v>0.29319008443200001</v>
      </c>
    </row>
    <row r="159" spans="1:12" ht="14.25" customHeight="1">
      <c r="A159" s="883">
        <v>149</v>
      </c>
      <c r="B159" s="884" t="s">
        <v>948</v>
      </c>
      <c r="C159" s="885" t="s">
        <v>1240</v>
      </c>
      <c r="D159" s="886" t="s">
        <v>930</v>
      </c>
      <c r="E159" s="886" t="s">
        <v>1241</v>
      </c>
      <c r="F159" s="886" t="s">
        <v>943</v>
      </c>
      <c r="G159" s="886" t="s">
        <v>940</v>
      </c>
      <c r="H159" s="887" t="s">
        <v>934</v>
      </c>
      <c r="I159" s="888">
        <v>5282.0030318486497</v>
      </c>
      <c r="J159" s="889" t="s">
        <v>935</v>
      </c>
      <c r="K159" s="890">
        <f>+I159*VLOOKUP(J159,'Factores Emisión EDGE'!$K$228:$L$230,2,FALSE)/1000</f>
        <v>1.5877701113737039</v>
      </c>
      <c r="L159" s="900">
        <f t="shared" si="0"/>
        <v>0.29065895549507992</v>
      </c>
    </row>
    <row r="160" spans="1:12" ht="14.25" customHeight="1">
      <c r="A160" s="883">
        <v>150</v>
      </c>
      <c r="B160" s="884" t="s">
        <v>948</v>
      </c>
      <c r="C160" s="885" t="s">
        <v>1242</v>
      </c>
      <c r="D160" s="886" t="s">
        <v>930</v>
      </c>
      <c r="E160" s="886" t="s">
        <v>1107</v>
      </c>
      <c r="F160" s="886" t="s">
        <v>943</v>
      </c>
      <c r="G160" s="886" t="s">
        <v>940</v>
      </c>
      <c r="H160" s="887" t="s">
        <v>934</v>
      </c>
      <c r="I160" s="888">
        <v>5214.8889721934347</v>
      </c>
      <c r="J160" s="889" t="s">
        <v>935</v>
      </c>
      <c r="K160" s="890">
        <f>+I160*VLOOKUP(J160,'Factores Emisión EDGE'!$K$228:$L$230,2,FALSE)/1000</f>
        <v>1.5675956250413465</v>
      </c>
      <c r="L160" s="900">
        <f t="shared" si="0"/>
        <v>0.28696579167809666</v>
      </c>
    </row>
    <row r="161" spans="1:12" ht="14.25" customHeight="1">
      <c r="A161" s="883">
        <v>151</v>
      </c>
      <c r="B161" s="884" t="s">
        <v>944</v>
      </c>
      <c r="C161" s="885" t="s">
        <v>1243</v>
      </c>
      <c r="D161" s="886" t="s">
        <v>999</v>
      </c>
      <c r="E161" s="886" t="s">
        <v>1000</v>
      </c>
      <c r="F161" s="886" t="s">
        <v>1003</v>
      </c>
      <c r="G161" s="886" t="s">
        <v>940</v>
      </c>
      <c r="H161" s="887" t="s">
        <v>934</v>
      </c>
      <c r="I161" s="888">
        <v>5106.1458431680503</v>
      </c>
      <c r="J161" s="889" t="s">
        <v>935</v>
      </c>
      <c r="K161" s="890">
        <f>+I161*VLOOKUP(J161,'Factores Emisión EDGE'!$K$228:$L$230,2,FALSE)/1000</f>
        <v>1.5349074404563157</v>
      </c>
      <c r="L161" s="900">
        <f t="shared" si="0"/>
        <v>0.28098185639649897</v>
      </c>
    </row>
    <row r="162" spans="1:12" ht="14.25" customHeight="1">
      <c r="A162" s="883">
        <v>152</v>
      </c>
      <c r="B162" s="884" t="s">
        <v>948</v>
      </c>
      <c r="C162" s="885" t="s">
        <v>1244</v>
      </c>
      <c r="D162" s="886" t="s">
        <v>946</v>
      </c>
      <c r="E162" s="886" t="s">
        <v>1245</v>
      </c>
      <c r="F162" s="886" t="s">
        <v>947</v>
      </c>
      <c r="G162" s="886" t="s">
        <v>940</v>
      </c>
      <c r="H162" s="887" t="s">
        <v>934</v>
      </c>
      <c r="I162" s="888">
        <v>5073.818181818182</v>
      </c>
      <c r="J162" s="889" t="s">
        <v>935</v>
      </c>
      <c r="K162" s="890">
        <f>+I162*VLOOKUP(J162,'Factores Emisión EDGE'!$K$228:$L$230,2,FALSE)/1000</f>
        <v>1.5251897454545453</v>
      </c>
      <c r="L162" s="900">
        <f t="shared" si="0"/>
        <v>0.27920292438436367</v>
      </c>
    </row>
    <row r="163" spans="1:12" ht="14.25" customHeight="1">
      <c r="A163" s="883">
        <v>153</v>
      </c>
      <c r="B163" s="884" t="s">
        <v>948</v>
      </c>
      <c r="C163" s="885" t="s">
        <v>1246</v>
      </c>
      <c r="D163" s="886" t="s">
        <v>930</v>
      </c>
      <c r="E163" s="886" t="s">
        <v>1056</v>
      </c>
      <c r="F163" s="886" t="s">
        <v>943</v>
      </c>
      <c r="G163" s="886" t="s">
        <v>940</v>
      </c>
      <c r="H163" s="887" t="s">
        <v>934</v>
      </c>
      <c r="I163" s="888">
        <v>5017.3100000000004</v>
      </c>
      <c r="J163" s="889" t="s">
        <v>935</v>
      </c>
      <c r="K163" s="890">
        <f>+I163*VLOOKUP(J163,'Factores Emisión EDGE'!$K$228:$L$230,2,FALSE)/1000</f>
        <v>1.5082033859999999</v>
      </c>
      <c r="L163" s="900">
        <f t="shared" si="0"/>
        <v>0.27609338260539007</v>
      </c>
    </row>
    <row r="164" spans="1:12" ht="14.25" customHeight="1">
      <c r="A164" s="883">
        <v>154</v>
      </c>
      <c r="B164" s="884" t="s">
        <v>948</v>
      </c>
      <c r="C164" s="885" t="s">
        <v>1247</v>
      </c>
      <c r="D164" s="886" t="s">
        <v>930</v>
      </c>
      <c r="E164" s="886" t="s">
        <v>1053</v>
      </c>
      <c r="F164" s="886" t="s">
        <v>943</v>
      </c>
      <c r="G164" s="886" t="s">
        <v>940</v>
      </c>
      <c r="H164" s="887" t="s">
        <v>934</v>
      </c>
      <c r="I164" s="888">
        <v>4906.2000000000007</v>
      </c>
      <c r="J164" s="889" t="s">
        <v>935</v>
      </c>
      <c r="K164" s="890">
        <f>+I164*VLOOKUP(J164,'Factores Emisión EDGE'!$K$228:$L$230,2,FALSE)/1000</f>
        <v>1.4748037200000002</v>
      </c>
      <c r="L164" s="900">
        <f t="shared" si="0"/>
        <v>0.26997920274780007</v>
      </c>
    </row>
    <row r="165" spans="1:12" ht="14.25" customHeight="1">
      <c r="A165" s="883">
        <v>155</v>
      </c>
      <c r="B165" s="884" t="s">
        <v>944</v>
      </c>
      <c r="C165" s="885" t="s">
        <v>1248</v>
      </c>
      <c r="D165" s="886" t="s">
        <v>950</v>
      </c>
      <c r="E165" s="886" t="s">
        <v>1009</v>
      </c>
      <c r="F165" s="886" t="s">
        <v>1010</v>
      </c>
      <c r="G165" s="886" t="s">
        <v>940</v>
      </c>
      <c r="H165" s="887" t="s">
        <v>934</v>
      </c>
      <c r="I165" s="888">
        <v>4901.2029346703184</v>
      </c>
      <c r="J165" s="889" t="s">
        <v>935</v>
      </c>
      <c r="K165" s="890">
        <f>+I165*VLOOKUP(J165,'Factores Emisión EDGE'!$K$228:$L$230,2,FALSE)/1000</f>
        <v>1.4733016021618976</v>
      </c>
      <c r="L165" s="900">
        <f t="shared" si="0"/>
        <v>0.26970422339233424</v>
      </c>
    </row>
    <row r="166" spans="1:12" ht="14.25" customHeight="1">
      <c r="A166" s="883">
        <v>156</v>
      </c>
      <c r="B166" s="884" t="s">
        <v>941</v>
      </c>
      <c r="C166" s="885" t="s">
        <v>1249</v>
      </c>
      <c r="D166" s="886" t="s">
        <v>1017</v>
      </c>
      <c r="E166" s="886" t="s">
        <v>1250</v>
      </c>
      <c r="F166" s="886" t="s">
        <v>952</v>
      </c>
      <c r="G166" s="886" t="s">
        <v>940</v>
      </c>
      <c r="H166" s="887" t="s">
        <v>934</v>
      </c>
      <c r="I166" s="888">
        <v>4896.0049903564213</v>
      </c>
      <c r="J166" s="889" t="s">
        <v>935</v>
      </c>
      <c r="K166" s="890">
        <f>+I166*VLOOKUP(J166,'Factores Emisión EDGE'!$K$228:$L$230,2,FALSE)/1000</f>
        <v>1.4717391001011402</v>
      </c>
      <c r="L166" s="900">
        <f t="shared" si="0"/>
        <v>0.2694181900341765</v>
      </c>
    </row>
    <row r="167" spans="1:12" ht="14.25" customHeight="1">
      <c r="A167" s="965">
        <v>157</v>
      </c>
      <c r="B167" s="884" t="s">
        <v>944</v>
      </c>
      <c r="C167" s="885" t="s">
        <v>1251</v>
      </c>
      <c r="D167" s="886" t="s">
        <v>954</v>
      </c>
      <c r="E167" s="886" t="s">
        <v>1251</v>
      </c>
      <c r="F167" s="886" t="s">
        <v>1045</v>
      </c>
      <c r="G167" s="886" t="s">
        <v>940</v>
      </c>
      <c r="H167" s="887" t="s">
        <v>934</v>
      </c>
      <c r="I167" s="888">
        <v>4875</v>
      </c>
      <c r="J167" s="889" t="s">
        <v>935</v>
      </c>
      <c r="K167" s="890">
        <f>+I167*VLOOKUP(J167,'Factores Emisión EDGE'!$K$228:$L$230,2,FALSE)/1000</f>
        <v>1.465425</v>
      </c>
      <c r="L167" s="900">
        <f t="shared" si="0"/>
        <v>0.26826232387499999</v>
      </c>
    </row>
    <row r="168" spans="1:12" ht="14.25" customHeight="1">
      <c r="A168" s="883">
        <v>158</v>
      </c>
      <c r="B168" s="884" t="s">
        <v>948</v>
      </c>
      <c r="C168" s="885" t="s">
        <v>1252</v>
      </c>
      <c r="D168" s="886" t="s">
        <v>946</v>
      </c>
      <c r="E168" s="886" t="s">
        <v>1023</v>
      </c>
      <c r="F168" s="886" t="s">
        <v>947</v>
      </c>
      <c r="G168" s="886" t="s">
        <v>940</v>
      </c>
      <c r="H168" s="887" t="s">
        <v>934</v>
      </c>
      <c r="I168" s="888">
        <v>4711</v>
      </c>
      <c r="J168" s="889" t="s">
        <v>935</v>
      </c>
      <c r="K168" s="890">
        <f>+I168*VLOOKUP(J168,'Factores Emisión EDGE'!$K$228:$L$230,2,FALSE)/1000</f>
        <v>1.4161265999999999</v>
      </c>
      <c r="L168" s="900">
        <f t="shared" si="0"/>
        <v>0.25923770415900005</v>
      </c>
    </row>
    <row r="169" spans="1:12" ht="14.25" customHeight="1">
      <c r="A169" s="883">
        <v>159</v>
      </c>
      <c r="B169" s="943" t="s">
        <v>944</v>
      </c>
      <c r="C169" s="885" t="s">
        <v>1253</v>
      </c>
      <c r="D169" s="885" t="s">
        <v>930</v>
      </c>
      <c r="E169" s="885" t="s">
        <v>1120</v>
      </c>
      <c r="F169" s="885" t="s">
        <v>943</v>
      </c>
      <c r="G169" s="886" t="s">
        <v>940</v>
      </c>
      <c r="H169" s="944" t="s">
        <v>934</v>
      </c>
      <c r="I169" s="888">
        <v>4680.199120457125</v>
      </c>
      <c r="J169" s="889" t="s">
        <v>935</v>
      </c>
      <c r="K169" s="890">
        <f>+I169*VLOOKUP(J169,'Factores Emisión EDGE'!$K$228:$L$230,2,FALSE)/1000</f>
        <v>1.4068678556094116</v>
      </c>
      <c r="L169" s="900">
        <f t="shared" si="0"/>
        <v>0.25754278815416604</v>
      </c>
    </row>
    <row r="170" spans="1:12" ht="14.25" customHeight="1">
      <c r="A170" s="883">
        <v>160</v>
      </c>
      <c r="B170" s="884" t="s">
        <v>948</v>
      </c>
      <c r="C170" s="885" t="s">
        <v>1254</v>
      </c>
      <c r="D170" s="886" t="s">
        <v>965</v>
      </c>
      <c r="E170" s="886" t="s">
        <v>965</v>
      </c>
      <c r="F170" s="886" t="s">
        <v>1003</v>
      </c>
      <c r="G170" s="886" t="s">
        <v>940</v>
      </c>
      <c r="H170" s="887" t="s">
        <v>934</v>
      </c>
      <c r="I170" s="888">
        <v>4668</v>
      </c>
      <c r="J170" s="889" t="s">
        <v>935</v>
      </c>
      <c r="K170" s="890">
        <f>+I170*VLOOKUP(J170,'Factores Emisión EDGE'!$K$228:$L$230,2,FALSE)/1000</f>
        <v>1.4032007999999998</v>
      </c>
      <c r="L170" s="900">
        <f t="shared" si="0"/>
        <v>0.25687149289200001</v>
      </c>
    </row>
    <row r="171" spans="1:12" ht="14.25" customHeight="1">
      <c r="A171" s="883">
        <v>161</v>
      </c>
      <c r="B171" s="884" t="s">
        <v>944</v>
      </c>
      <c r="C171" s="885" t="s">
        <v>1255</v>
      </c>
      <c r="D171" s="886" t="s">
        <v>1070</v>
      </c>
      <c r="E171" s="886" t="s">
        <v>1071</v>
      </c>
      <c r="F171" s="886" t="s">
        <v>1003</v>
      </c>
      <c r="G171" s="886" t="s">
        <v>940</v>
      </c>
      <c r="H171" s="887" t="s">
        <v>934</v>
      </c>
      <c r="I171" s="888">
        <v>4653</v>
      </c>
      <c r="J171" s="889" t="s">
        <v>935</v>
      </c>
      <c r="K171" s="890">
        <f>+I171*VLOOKUP(J171,'Factores Emisión EDGE'!$K$228:$L$230,2,FALSE)/1000</f>
        <v>1.3986917999999999</v>
      </c>
      <c r="L171" s="900">
        <f t="shared" si="0"/>
        <v>0.256046070357</v>
      </c>
    </row>
    <row r="172" spans="1:12" ht="14.25" customHeight="1">
      <c r="A172" s="883">
        <v>162</v>
      </c>
      <c r="B172" s="884" t="s">
        <v>948</v>
      </c>
      <c r="C172" s="885" t="s">
        <v>1256</v>
      </c>
      <c r="D172" s="886" t="s">
        <v>950</v>
      </c>
      <c r="E172" s="886" t="s">
        <v>963</v>
      </c>
      <c r="F172" s="886" t="s">
        <v>1010</v>
      </c>
      <c r="G172" s="886" t="s">
        <v>940</v>
      </c>
      <c r="H172" s="887" t="s">
        <v>934</v>
      </c>
      <c r="I172" s="888">
        <v>4626.1394784271715</v>
      </c>
      <c r="J172" s="889" t="s">
        <v>935</v>
      </c>
      <c r="K172" s="890">
        <f>+I172*VLOOKUP(J172,'Factores Emisión EDGE'!$K$228:$L$230,2,FALSE)/1000</f>
        <v>1.3906175272152077</v>
      </c>
      <c r="L172" s="900">
        <f t="shared" si="0"/>
        <v>0.25456798503646227</v>
      </c>
    </row>
    <row r="173" spans="1:12" ht="14.25" customHeight="1">
      <c r="A173" s="883">
        <v>163</v>
      </c>
      <c r="B173" s="884" t="s">
        <v>944</v>
      </c>
      <c r="C173" s="885" t="s">
        <v>1257</v>
      </c>
      <c r="D173" s="886" t="s">
        <v>965</v>
      </c>
      <c r="E173" s="886" t="s">
        <v>1257</v>
      </c>
      <c r="F173" s="886" t="s">
        <v>1003</v>
      </c>
      <c r="G173" s="886" t="s">
        <v>940</v>
      </c>
      <c r="H173" s="887" t="s">
        <v>934</v>
      </c>
      <c r="I173" s="888">
        <v>4587.8957475994521</v>
      </c>
      <c r="J173" s="889" t="s">
        <v>935</v>
      </c>
      <c r="K173" s="890">
        <f>+I173*VLOOKUP(J173,'Factores Emisión EDGE'!$K$228:$L$230,2,FALSE)/1000</f>
        <v>1.3791214617283951</v>
      </c>
      <c r="L173" s="900">
        <f t="shared" si="0"/>
        <v>0.25246350255328398</v>
      </c>
    </row>
    <row r="174" spans="1:12" ht="14.25" customHeight="1">
      <c r="A174" s="883">
        <v>164</v>
      </c>
      <c r="B174" s="884" t="s">
        <v>948</v>
      </c>
      <c r="C174" s="885" t="s">
        <v>1258</v>
      </c>
      <c r="D174" s="886" t="s">
        <v>1170</v>
      </c>
      <c r="E174" s="886" t="s">
        <v>989</v>
      </c>
      <c r="F174" s="886" t="s">
        <v>1010</v>
      </c>
      <c r="G174" s="886" t="s">
        <v>940</v>
      </c>
      <c r="H174" s="887" t="s">
        <v>934</v>
      </c>
      <c r="I174" s="888">
        <v>4556.727272727273</v>
      </c>
      <c r="J174" s="889" t="s">
        <v>935</v>
      </c>
      <c r="K174" s="890">
        <f>+I174*VLOOKUP(J174,'Factores Emisión EDGE'!$K$228:$L$230,2,FALSE)/1000</f>
        <v>1.369752218181818</v>
      </c>
      <c r="L174" s="900">
        <f t="shared" si="0"/>
        <v>0.25074835845054549</v>
      </c>
    </row>
    <row r="175" spans="1:12" ht="14.25" customHeight="1">
      <c r="A175" s="883">
        <v>165</v>
      </c>
      <c r="B175" s="943" t="s">
        <v>948</v>
      </c>
      <c r="C175" s="885" t="s">
        <v>1259</v>
      </c>
      <c r="D175" s="885" t="s">
        <v>930</v>
      </c>
      <c r="E175" s="885" t="s">
        <v>1031</v>
      </c>
      <c r="F175" s="885" t="s">
        <v>943</v>
      </c>
      <c r="G175" s="886" t="s">
        <v>940</v>
      </c>
      <c r="H175" s="944" t="s">
        <v>934</v>
      </c>
      <c r="I175" s="888">
        <v>4509.2062548013791</v>
      </c>
      <c r="J175" s="889" t="s">
        <v>935</v>
      </c>
      <c r="K175" s="890">
        <f>+I175*VLOOKUP(J175,'Factores Emisión EDGE'!$K$228:$L$230,2,FALSE)/1000</f>
        <v>1.3554674001932945</v>
      </c>
      <c r="L175" s="900">
        <f t="shared" si="0"/>
        <v>0.24813336384506735</v>
      </c>
    </row>
    <row r="176" spans="1:12" ht="14.25" customHeight="1">
      <c r="A176" s="883">
        <v>166</v>
      </c>
      <c r="B176" s="884" t="s">
        <v>948</v>
      </c>
      <c r="C176" s="885" t="s">
        <v>1260</v>
      </c>
      <c r="D176" s="886" t="s">
        <v>1112</v>
      </c>
      <c r="E176" s="886" t="s">
        <v>1113</v>
      </c>
      <c r="F176" s="886" t="s">
        <v>1045</v>
      </c>
      <c r="G176" s="886" t="s">
        <v>940</v>
      </c>
      <c r="H176" s="887" t="s">
        <v>934</v>
      </c>
      <c r="I176" s="888">
        <v>4446</v>
      </c>
      <c r="J176" s="889" t="s">
        <v>977</v>
      </c>
      <c r="K176" s="890">
        <f>+I176*VLOOKUP(J176,'Factores Emisión EDGE'!$K$228:$L$230,2,FALSE)/1000</f>
        <v>3.2211270000000001</v>
      </c>
      <c r="L176" s="900">
        <f t="shared" si="0"/>
        <v>0.24465523937400002</v>
      </c>
    </row>
    <row r="177" spans="1:12" ht="14.25" customHeight="1">
      <c r="A177" s="883">
        <v>167</v>
      </c>
      <c r="B177" s="884" t="s">
        <v>948</v>
      </c>
      <c r="C177" s="885" t="s">
        <v>1261</v>
      </c>
      <c r="D177" s="886" t="s">
        <v>946</v>
      </c>
      <c r="E177" s="886" t="s">
        <v>946</v>
      </c>
      <c r="F177" s="886" t="s">
        <v>947</v>
      </c>
      <c r="G177" s="886" t="s">
        <v>940</v>
      </c>
      <c r="H177" s="887" t="s">
        <v>934</v>
      </c>
      <c r="I177" s="888">
        <v>4446</v>
      </c>
      <c r="J177" s="889" t="s">
        <v>935</v>
      </c>
      <c r="K177" s="890">
        <f>+I177*VLOOKUP(J177,'Factores Emisión EDGE'!$K$228:$L$230,2,FALSE)/1000</f>
        <v>1.3364676</v>
      </c>
      <c r="L177" s="900">
        <f t="shared" si="0"/>
        <v>0.24465523937400002</v>
      </c>
    </row>
    <row r="178" spans="1:12" ht="14.25" customHeight="1">
      <c r="A178" s="883">
        <v>168</v>
      </c>
      <c r="B178" s="884" t="s">
        <v>944</v>
      </c>
      <c r="C178" s="885" t="s">
        <v>1262</v>
      </c>
      <c r="D178" s="886" t="s">
        <v>930</v>
      </c>
      <c r="E178" s="886" t="s">
        <v>1090</v>
      </c>
      <c r="F178" s="886" t="s">
        <v>943</v>
      </c>
      <c r="G178" s="886" t="s">
        <v>940</v>
      </c>
      <c r="H178" s="887" t="s">
        <v>934</v>
      </c>
      <c r="I178" s="888">
        <v>4421.6319031546191</v>
      </c>
      <c r="J178" s="889" t="s">
        <v>935</v>
      </c>
      <c r="K178" s="890">
        <f>+I178*VLOOKUP(J178,'Factores Emisión EDGE'!$K$228:$L$230,2,FALSE)/1000</f>
        <v>1.3291425500882783</v>
      </c>
      <c r="L178" s="900">
        <f t="shared" si="0"/>
        <v>0.24331430762258402</v>
      </c>
    </row>
    <row r="179" spans="1:12" ht="14.25" customHeight="1">
      <c r="A179" s="883">
        <v>169</v>
      </c>
      <c r="B179" s="884" t="s">
        <v>948</v>
      </c>
      <c r="C179" s="885" t="s">
        <v>1263</v>
      </c>
      <c r="D179" s="886" t="s">
        <v>1039</v>
      </c>
      <c r="E179" s="886" t="s">
        <v>1136</v>
      </c>
      <c r="F179" s="886" t="s">
        <v>947</v>
      </c>
      <c r="G179" s="886" t="s">
        <v>940</v>
      </c>
      <c r="H179" s="887" t="s">
        <v>934</v>
      </c>
      <c r="I179" s="888">
        <v>4377</v>
      </c>
      <c r="J179" s="889" t="s">
        <v>935</v>
      </c>
      <c r="K179" s="890">
        <f>+I179*VLOOKUP(J179,'Factores Emisión EDGE'!$K$228:$L$230,2,FALSE)/1000</f>
        <v>1.3157261999999998</v>
      </c>
      <c r="L179" s="900">
        <f t="shared" si="0"/>
        <v>0.24085829571300002</v>
      </c>
    </row>
    <row r="180" spans="1:12" ht="14.25" customHeight="1">
      <c r="A180" s="883">
        <v>170</v>
      </c>
      <c r="B180" s="884" t="s">
        <v>948</v>
      </c>
      <c r="C180" s="885" t="s">
        <v>1264</v>
      </c>
      <c r="D180" s="886" t="s">
        <v>930</v>
      </c>
      <c r="E180" s="886" t="s">
        <v>1122</v>
      </c>
      <c r="F180" s="886" t="s">
        <v>943</v>
      </c>
      <c r="G180" s="886" t="s">
        <v>940</v>
      </c>
      <c r="H180" s="887" t="s">
        <v>934</v>
      </c>
      <c r="I180" s="888">
        <v>4353.6305620193589</v>
      </c>
      <c r="J180" s="889" t="s">
        <v>935</v>
      </c>
      <c r="K180" s="890">
        <f>+I180*VLOOKUP(J180,'Factores Emisión EDGE'!$K$228:$L$230,2,FALSE)/1000</f>
        <v>1.3087013469430191</v>
      </c>
      <c r="L180" s="900">
        <f t="shared" si="0"/>
        <v>0.23957231833036627</v>
      </c>
    </row>
    <row r="181" spans="1:12" ht="14.25" customHeight="1">
      <c r="A181" s="883">
        <v>171</v>
      </c>
      <c r="B181" s="884" t="s">
        <v>948</v>
      </c>
      <c r="C181" s="885" t="s">
        <v>1031</v>
      </c>
      <c r="D181" s="886" t="s">
        <v>930</v>
      </c>
      <c r="E181" s="886" t="s">
        <v>1031</v>
      </c>
      <c r="F181" s="886" t="s">
        <v>943</v>
      </c>
      <c r="G181" s="886" t="s">
        <v>940</v>
      </c>
      <c r="H181" s="887" t="s">
        <v>934</v>
      </c>
      <c r="I181" s="888">
        <v>4350.93</v>
      </c>
      <c r="J181" s="889" t="s">
        <v>935</v>
      </c>
      <c r="K181" s="890">
        <f>+I181*VLOOKUP(J181,'Factores Emisión EDGE'!$K$228:$L$230,2,FALSE)/1000</f>
        <v>1.3078895580000001</v>
      </c>
      <c r="L181" s="900">
        <f t="shared" si="0"/>
        <v>0.23942371134717003</v>
      </c>
    </row>
    <row r="182" spans="1:12" ht="14.25" customHeight="1">
      <c r="A182" s="883">
        <v>172</v>
      </c>
      <c r="B182" s="884" t="s">
        <v>948</v>
      </c>
      <c r="C182" s="885" t="s">
        <v>1265</v>
      </c>
      <c r="D182" s="886" t="s">
        <v>930</v>
      </c>
      <c r="E182" s="886" t="s">
        <v>1231</v>
      </c>
      <c r="F182" s="886" t="s">
        <v>943</v>
      </c>
      <c r="G182" s="886" t="s">
        <v>940</v>
      </c>
      <c r="H182" s="887" t="s">
        <v>934</v>
      </c>
      <c r="I182" s="888">
        <v>4291.5656227895752</v>
      </c>
      <c r="J182" s="889" t="s">
        <v>935</v>
      </c>
      <c r="K182" s="890">
        <f>+I182*VLOOKUP(J182,'Factores Emisión EDGE'!$K$228:$L$230,2,FALSE)/1000</f>
        <v>1.2900446262105463</v>
      </c>
      <c r="L182" s="900">
        <f t="shared" si="0"/>
        <v>0.23615699836545501</v>
      </c>
    </row>
    <row r="183" spans="1:12" ht="14.25" customHeight="1">
      <c r="A183" s="883">
        <v>173</v>
      </c>
      <c r="B183" s="884" t="s">
        <v>944</v>
      </c>
      <c r="C183" s="885" t="s">
        <v>1266</v>
      </c>
      <c r="D183" s="886" t="s">
        <v>930</v>
      </c>
      <c r="E183" s="886" t="s">
        <v>1267</v>
      </c>
      <c r="F183" s="886" t="s">
        <v>943</v>
      </c>
      <c r="G183" s="886" t="s">
        <v>940</v>
      </c>
      <c r="H183" s="887" t="s">
        <v>934</v>
      </c>
      <c r="I183" s="888">
        <v>4228.1634303409237</v>
      </c>
      <c r="J183" s="889" t="s">
        <v>935</v>
      </c>
      <c r="K183" s="890">
        <f>+I183*VLOOKUP(J183,'Factores Emisión EDGE'!$K$228:$L$230,2,FALSE)/1000</f>
        <v>1.2709859271604818</v>
      </c>
      <c r="L183" s="900">
        <f t="shared" si="0"/>
        <v>0.23266809180442008</v>
      </c>
    </row>
    <row r="184" spans="1:12" ht="14.25" customHeight="1">
      <c r="A184" s="883">
        <v>174</v>
      </c>
      <c r="B184" s="884" t="s">
        <v>944</v>
      </c>
      <c r="C184" s="885" t="s">
        <v>1268</v>
      </c>
      <c r="D184" s="886" t="s">
        <v>1043</v>
      </c>
      <c r="E184" s="886" t="s">
        <v>1044</v>
      </c>
      <c r="F184" s="886" t="s">
        <v>1045</v>
      </c>
      <c r="G184" s="886" t="s">
        <v>940</v>
      </c>
      <c r="H184" s="887" t="s">
        <v>934</v>
      </c>
      <c r="I184" s="888">
        <v>4178.6488217736769</v>
      </c>
      <c r="J184" s="889" t="s">
        <v>980</v>
      </c>
      <c r="K184" s="890">
        <f>+I184*VLOOKUP(J184,'Factores Emisión EDGE'!$K$228:$L$230,2,FALSE)/1000</f>
        <v>2.477068199473921</v>
      </c>
      <c r="L184" s="900">
        <f t="shared" si="0"/>
        <v>0.22994339355621279</v>
      </c>
    </row>
    <row r="185" spans="1:12" ht="14.25" customHeight="1">
      <c r="A185" s="883">
        <v>175</v>
      </c>
      <c r="B185" s="884" t="s">
        <v>944</v>
      </c>
      <c r="C185" s="885" t="s">
        <v>1269</v>
      </c>
      <c r="D185" s="886" t="s">
        <v>930</v>
      </c>
      <c r="E185" s="886" t="s">
        <v>1270</v>
      </c>
      <c r="F185" s="886" t="s">
        <v>943</v>
      </c>
      <c r="G185" s="886" t="s">
        <v>940</v>
      </c>
      <c r="H185" s="887" t="s">
        <v>934</v>
      </c>
      <c r="I185" s="888">
        <v>4150.91</v>
      </c>
      <c r="J185" s="889" t="s">
        <v>935</v>
      </c>
      <c r="K185" s="890">
        <f>+I185*VLOOKUP(J185,'Factores Emisión EDGE'!$K$228:$L$230,2,FALSE)/1000</f>
        <v>1.2477635459999998</v>
      </c>
      <c r="L185" s="900">
        <f t="shared" si="0"/>
        <v>0.22841697698378999</v>
      </c>
    </row>
    <row r="186" spans="1:12" ht="14.25" customHeight="1">
      <c r="A186" s="883">
        <v>176</v>
      </c>
      <c r="B186" s="884" t="s">
        <v>948</v>
      </c>
      <c r="C186" s="885" t="s">
        <v>1271</v>
      </c>
      <c r="D186" s="886" t="s">
        <v>950</v>
      </c>
      <c r="E186" s="886" t="s">
        <v>1103</v>
      </c>
      <c r="F186" s="886" t="s">
        <v>1010</v>
      </c>
      <c r="G186" s="886" t="s">
        <v>940</v>
      </c>
      <c r="H186" s="887" t="s">
        <v>934</v>
      </c>
      <c r="I186" s="888">
        <v>4014.3496334401557</v>
      </c>
      <c r="J186" s="889" t="s">
        <v>935</v>
      </c>
      <c r="K186" s="890">
        <f>+I186*VLOOKUP(J186,'Factores Emisión EDGE'!$K$228:$L$230,2,FALSE)/1000</f>
        <v>1.2067134998121107</v>
      </c>
      <c r="L186" s="900">
        <f t="shared" si="0"/>
        <v>0.22090231005403294</v>
      </c>
    </row>
    <row r="187" spans="1:12" ht="14.25" customHeight="1">
      <c r="A187" s="883">
        <v>177</v>
      </c>
      <c r="B187" s="884" t="s">
        <v>948</v>
      </c>
      <c r="C187" s="885" t="s">
        <v>1272</v>
      </c>
      <c r="D187" s="886" t="s">
        <v>946</v>
      </c>
      <c r="E187" s="886" t="s">
        <v>1082</v>
      </c>
      <c r="F187" s="886" t="s">
        <v>947</v>
      </c>
      <c r="G187" s="886" t="s">
        <v>940</v>
      </c>
      <c r="H187" s="887" t="s">
        <v>934</v>
      </c>
      <c r="I187" s="888">
        <v>3994.68</v>
      </c>
      <c r="J187" s="889" t="s">
        <v>935</v>
      </c>
      <c r="K187" s="890">
        <f>+I187*VLOOKUP(J187,'Factores Emisión EDGE'!$K$228:$L$230,2,FALSE)/1000</f>
        <v>1.2008008079999999</v>
      </c>
      <c r="L187" s="900">
        <f t="shared" si="0"/>
        <v>0.21981992614092</v>
      </c>
    </row>
    <row r="188" spans="1:12" ht="14.25" customHeight="1">
      <c r="A188" s="883">
        <v>178</v>
      </c>
      <c r="B188" s="884" t="s">
        <v>948</v>
      </c>
      <c r="C188" s="885" t="s">
        <v>996</v>
      </c>
      <c r="D188" s="886" t="s">
        <v>946</v>
      </c>
      <c r="E188" s="886" t="s">
        <v>996</v>
      </c>
      <c r="F188" s="886" t="s">
        <v>947</v>
      </c>
      <c r="G188" s="886" t="s">
        <v>940</v>
      </c>
      <c r="H188" s="887" t="s">
        <v>934</v>
      </c>
      <c r="I188" s="888">
        <v>3965</v>
      </c>
      <c r="J188" s="889" t="s">
        <v>935</v>
      </c>
      <c r="K188" s="890">
        <f>+I188*VLOOKUP(J188,'Factores Emisión EDGE'!$K$228:$L$230,2,FALSE)/1000</f>
        <v>1.1918789999999999</v>
      </c>
      <c r="L188" s="900">
        <f t="shared" si="0"/>
        <v>0.218186690085</v>
      </c>
    </row>
    <row r="189" spans="1:12" ht="14.25" customHeight="1">
      <c r="A189" s="883">
        <v>179</v>
      </c>
      <c r="B189" s="884" t="s">
        <v>948</v>
      </c>
      <c r="C189" s="885" t="s">
        <v>1273</v>
      </c>
      <c r="D189" s="886" t="s">
        <v>930</v>
      </c>
      <c r="E189" s="886" t="s">
        <v>1274</v>
      </c>
      <c r="F189" s="886" t="s">
        <v>943</v>
      </c>
      <c r="G189" s="886" t="s">
        <v>940</v>
      </c>
      <c r="H189" s="887" t="s">
        <v>934</v>
      </c>
      <c r="I189" s="888">
        <v>3908.5799999999995</v>
      </c>
      <c r="J189" s="889" t="s">
        <v>935</v>
      </c>
      <c r="K189" s="890">
        <f>+I189*VLOOKUP(J189,'Factores Emisión EDGE'!$K$228:$L$230,2,FALSE)/1000</f>
        <v>1.1749191479999996</v>
      </c>
      <c r="L189" s="900">
        <f t="shared" si="0"/>
        <v>0.21508200079001999</v>
      </c>
    </row>
    <row r="190" spans="1:12" ht="14.25" customHeight="1">
      <c r="A190" s="883">
        <v>180</v>
      </c>
      <c r="B190" s="884" t="s">
        <v>948</v>
      </c>
      <c r="C190" s="885" t="s">
        <v>939</v>
      </c>
      <c r="D190" s="886" t="s">
        <v>930</v>
      </c>
      <c r="E190" s="886" t="s">
        <v>939</v>
      </c>
      <c r="F190" s="886" t="s">
        <v>943</v>
      </c>
      <c r="G190" s="886" t="s">
        <v>940</v>
      </c>
      <c r="H190" s="887" t="s">
        <v>934</v>
      </c>
      <c r="I190" s="888">
        <v>3879</v>
      </c>
      <c r="J190" s="889" t="s">
        <v>935</v>
      </c>
      <c r="K190" s="890">
        <f>+I190*VLOOKUP(J190,'Factores Emisión EDGE'!$K$228:$L$230,2,FALSE)/1000</f>
        <v>1.1660273999999999</v>
      </c>
      <c r="L190" s="900">
        <f t="shared" si="0"/>
        <v>0.21345426755100003</v>
      </c>
    </row>
    <row r="191" spans="1:12" ht="14.25" customHeight="1">
      <c r="A191" s="883">
        <v>181</v>
      </c>
      <c r="B191" s="884" t="s">
        <v>948</v>
      </c>
      <c r="C191" s="885" t="s">
        <v>1275</v>
      </c>
      <c r="D191" s="886" t="s">
        <v>930</v>
      </c>
      <c r="E191" s="886" t="s">
        <v>1276</v>
      </c>
      <c r="F191" s="886" t="s">
        <v>943</v>
      </c>
      <c r="G191" s="886" t="s">
        <v>940</v>
      </c>
      <c r="H191" s="887" t="s">
        <v>934</v>
      </c>
      <c r="I191" s="888">
        <v>3744</v>
      </c>
      <c r="J191" s="889" t="s">
        <v>935</v>
      </c>
      <c r="K191" s="890">
        <f>+I191*VLOOKUP(J191,'Factores Emisión EDGE'!$K$228:$L$230,2,FALSE)/1000</f>
        <v>1.1254463999999997</v>
      </c>
      <c r="L191" s="900">
        <f t="shared" si="0"/>
        <v>0.206025464736</v>
      </c>
    </row>
    <row r="192" spans="1:12" ht="14.25" customHeight="1">
      <c r="A192" s="965">
        <v>182</v>
      </c>
      <c r="B192" s="884" t="s">
        <v>948</v>
      </c>
      <c r="C192" s="885" t="s">
        <v>982</v>
      </c>
      <c r="D192" s="886" t="s">
        <v>954</v>
      </c>
      <c r="E192" s="886" t="s">
        <v>982</v>
      </c>
      <c r="F192" s="886" t="s">
        <v>1045</v>
      </c>
      <c r="G192" s="886" t="s">
        <v>940</v>
      </c>
      <c r="H192" s="887" t="s">
        <v>934</v>
      </c>
      <c r="I192" s="888">
        <v>3720</v>
      </c>
      <c r="J192" s="889" t="s">
        <v>935</v>
      </c>
      <c r="K192" s="890">
        <f>+I192*VLOOKUP(J192,'Factores Emisión EDGE'!$K$228:$L$230,2,FALSE)/1000</f>
        <v>1.1182319999999999</v>
      </c>
      <c r="L192" s="900">
        <f t="shared" si="0"/>
        <v>0.20470478868</v>
      </c>
    </row>
    <row r="193" spans="1:12" ht="14.25" customHeight="1">
      <c r="A193" s="883">
        <v>183</v>
      </c>
      <c r="B193" s="884" t="s">
        <v>941</v>
      </c>
      <c r="C193" s="885" t="s">
        <v>1277</v>
      </c>
      <c r="D193" s="886" t="s">
        <v>930</v>
      </c>
      <c r="E193" s="886" t="s">
        <v>1031</v>
      </c>
      <c r="F193" s="886" t="s">
        <v>932</v>
      </c>
      <c r="G193" s="886" t="s">
        <v>940</v>
      </c>
      <c r="H193" s="887" t="s">
        <v>934</v>
      </c>
      <c r="I193" s="888">
        <v>3628.6438843869537</v>
      </c>
      <c r="J193" s="889" t="s">
        <v>935</v>
      </c>
      <c r="K193" s="890">
        <f>+I193*VLOOKUP(J193,'Factores Emisión EDGE'!$K$228:$L$230,2,FALSE)/1000</f>
        <v>1.0907703516467182</v>
      </c>
      <c r="L193" s="900">
        <f t="shared" si="0"/>
        <v>0.19967762891086174</v>
      </c>
    </row>
    <row r="194" spans="1:12" ht="14.25" customHeight="1">
      <c r="A194" s="883">
        <v>184</v>
      </c>
      <c r="B194" s="884" t="s">
        <v>948</v>
      </c>
      <c r="C194" s="885" t="s">
        <v>1278</v>
      </c>
      <c r="D194" s="886" t="s">
        <v>930</v>
      </c>
      <c r="E194" s="886" t="s">
        <v>1056</v>
      </c>
      <c r="F194" s="886" t="s">
        <v>943</v>
      </c>
      <c r="G194" s="886" t="s">
        <v>940</v>
      </c>
      <c r="H194" s="887" t="s">
        <v>934</v>
      </c>
      <c r="I194" s="888">
        <v>3591.51</v>
      </c>
      <c r="J194" s="889" t="s">
        <v>935</v>
      </c>
      <c r="K194" s="890">
        <f>+I194*VLOOKUP(J194,'Factores Emisión EDGE'!$K$228:$L$230,2,FALSE)/1000</f>
        <v>1.0796079059999999</v>
      </c>
      <c r="L194" s="900">
        <f t="shared" si="0"/>
        <v>0.19763421924519003</v>
      </c>
    </row>
    <row r="195" spans="1:12" ht="14.25" customHeight="1">
      <c r="A195" s="883">
        <v>185</v>
      </c>
      <c r="B195" s="884" t="s">
        <v>948</v>
      </c>
      <c r="C195" s="885" t="s">
        <v>1279</v>
      </c>
      <c r="D195" s="886" t="s">
        <v>930</v>
      </c>
      <c r="E195" s="886" t="s">
        <v>1056</v>
      </c>
      <c r="F195" s="886" t="s">
        <v>943</v>
      </c>
      <c r="G195" s="886" t="s">
        <v>940</v>
      </c>
      <c r="H195" s="887" t="s">
        <v>934</v>
      </c>
      <c r="I195" s="888">
        <v>3564</v>
      </c>
      <c r="J195" s="889" t="s">
        <v>935</v>
      </c>
      <c r="K195" s="890">
        <f>+I195*VLOOKUP(J195,'Factores Emisión EDGE'!$K$228:$L$230,2,FALSE)/1000</f>
        <v>1.0713383999999999</v>
      </c>
      <c r="L195" s="900">
        <f t="shared" si="0"/>
        <v>0.19612039431600001</v>
      </c>
    </row>
    <row r="196" spans="1:12" ht="14.25" customHeight="1">
      <c r="A196" s="883">
        <v>186</v>
      </c>
      <c r="B196" s="884" t="s">
        <v>948</v>
      </c>
      <c r="C196" s="885" t="s">
        <v>1280</v>
      </c>
      <c r="D196" s="886" t="s">
        <v>1039</v>
      </c>
      <c r="E196" s="886" t="s">
        <v>1136</v>
      </c>
      <c r="F196" s="886" t="s">
        <v>947</v>
      </c>
      <c r="G196" s="886" t="s">
        <v>940</v>
      </c>
      <c r="H196" s="887" t="s">
        <v>934</v>
      </c>
      <c r="I196" s="888">
        <v>3444</v>
      </c>
      <c r="J196" s="889" t="s">
        <v>935</v>
      </c>
      <c r="K196" s="890">
        <f>+I196*VLOOKUP(J196,'Factores Emisión EDGE'!$K$228:$L$230,2,FALSE)/1000</f>
        <v>1.0352664</v>
      </c>
      <c r="L196" s="900">
        <f t="shared" si="0"/>
        <v>0.18951701403600002</v>
      </c>
    </row>
    <row r="197" spans="1:12" ht="14.25" customHeight="1">
      <c r="A197" s="883">
        <v>187</v>
      </c>
      <c r="B197" s="884" t="s">
        <v>948</v>
      </c>
      <c r="C197" s="885" t="s">
        <v>1281</v>
      </c>
      <c r="D197" s="886" t="s">
        <v>1043</v>
      </c>
      <c r="E197" s="886" t="s">
        <v>1044</v>
      </c>
      <c r="F197" s="886" t="s">
        <v>1045</v>
      </c>
      <c r="G197" s="886" t="s">
        <v>940</v>
      </c>
      <c r="H197" s="887" t="s">
        <v>934</v>
      </c>
      <c r="I197" s="888">
        <v>3379</v>
      </c>
      <c r="J197" s="889" t="s">
        <v>980</v>
      </c>
      <c r="K197" s="890">
        <f>+I197*VLOOKUP(J197,'Factores Emisión EDGE'!$K$228:$L$230,2,FALSE)/1000</f>
        <v>2.0030430416666669</v>
      </c>
      <c r="L197" s="900">
        <f t="shared" si="0"/>
        <v>0.18594018305100002</v>
      </c>
    </row>
    <row r="198" spans="1:12" ht="14.25" customHeight="1">
      <c r="A198" s="883">
        <v>188</v>
      </c>
      <c r="B198" s="884" t="s">
        <v>948</v>
      </c>
      <c r="C198" s="885" t="s">
        <v>1282</v>
      </c>
      <c r="D198" s="886" t="s">
        <v>930</v>
      </c>
      <c r="E198" s="886" t="s">
        <v>1120</v>
      </c>
      <c r="F198" s="886" t="s">
        <v>943</v>
      </c>
      <c r="G198" s="886" t="s">
        <v>940</v>
      </c>
      <c r="H198" s="887" t="s">
        <v>934</v>
      </c>
      <c r="I198" s="888">
        <v>3359.68</v>
      </c>
      <c r="J198" s="889" t="s">
        <v>935</v>
      </c>
      <c r="K198" s="890">
        <f>+I198*VLOOKUP(J198,'Factores Emisión EDGE'!$K$228:$L$230,2,FALSE)/1000</f>
        <v>1.0099198079999998</v>
      </c>
      <c r="L198" s="900">
        <f t="shared" si="0"/>
        <v>0.18487703882592002</v>
      </c>
    </row>
    <row r="199" spans="1:12" ht="14.25" customHeight="1">
      <c r="A199" s="883">
        <v>189</v>
      </c>
      <c r="B199" s="884" t="s">
        <v>948</v>
      </c>
      <c r="C199" s="885" t="s">
        <v>1283</v>
      </c>
      <c r="D199" s="886" t="s">
        <v>930</v>
      </c>
      <c r="E199" s="886" t="s">
        <v>1056</v>
      </c>
      <c r="F199" s="886" t="s">
        <v>943</v>
      </c>
      <c r="G199" s="886" t="s">
        <v>940</v>
      </c>
      <c r="H199" s="887" t="s">
        <v>934</v>
      </c>
      <c r="I199" s="888">
        <v>3342.26</v>
      </c>
      <c r="J199" s="889" t="s">
        <v>935</v>
      </c>
      <c r="K199" s="890">
        <f>+I199*VLOOKUP(J199,'Factores Emisión EDGE'!$K$228:$L$230,2,FALSE)/1000</f>
        <v>1.0046833559999999</v>
      </c>
      <c r="L199" s="900">
        <f t="shared" si="0"/>
        <v>0.18391844812194003</v>
      </c>
    </row>
    <row r="200" spans="1:12" ht="14.25" customHeight="1">
      <c r="A200" s="883">
        <v>190</v>
      </c>
      <c r="B200" s="884" t="s">
        <v>948</v>
      </c>
      <c r="C200" s="946" t="s">
        <v>1284</v>
      </c>
      <c r="D200" s="886" t="s">
        <v>930</v>
      </c>
      <c r="E200" s="886" t="s">
        <v>1276</v>
      </c>
      <c r="F200" s="886" t="s">
        <v>943</v>
      </c>
      <c r="G200" s="886" t="s">
        <v>940</v>
      </c>
      <c r="H200" s="887" t="s">
        <v>934</v>
      </c>
      <c r="I200" s="888">
        <v>3329.7267415579681</v>
      </c>
      <c r="J200" s="889" t="s">
        <v>935</v>
      </c>
      <c r="K200" s="890">
        <f>+I200*VLOOKUP(J200,'Factores Emisión EDGE'!$K$228:$L$230,2,FALSE)/1000</f>
        <v>1.0009158585123252</v>
      </c>
      <c r="L200" s="900">
        <f t="shared" si="0"/>
        <v>0.18322876585827119</v>
      </c>
    </row>
    <row r="201" spans="1:12" ht="14.25" customHeight="1">
      <c r="A201" s="883">
        <v>191</v>
      </c>
      <c r="B201" s="884" t="s">
        <v>944</v>
      </c>
      <c r="C201" s="885" t="s">
        <v>1285</v>
      </c>
      <c r="D201" s="886" t="s">
        <v>946</v>
      </c>
      <c r="E201" s="886" t="s">
        <v>1286</v>
      </c>
      <c r="F201" s="886" t="s">
        <v>947</v>
      </c>
      <c r="G201" s="886" t="s">
        <v>940</v>
      </c>
      <c r="H201" s="887" t="s">
        <v>934</v>
      </c>
      <c r="I201" s="888">
        <v>3317</v>
      </c>
      <c r="J201" s="889" t="s">
        <v>935</v>
      </c>
      <c r="K201" s="890">
        <f>+I201*VLOOKUP(J201,'Factores Emisión EDGE'!$K$228:$L$230,2,FALSE)/1000</f>
        <v>0.99709019999999993</v>
      </c>
      <c r="L201" s="900">
        <f t="shared" si="0"/>
        <v>0.182528436573</v>
      </c>
    </row>
    <row r="202" spans="1:12" ht="14.25" customHeight="1">
      <c r="A202" s="883">
        <v>192</v>
      </c>
      <c r="B202" s="884" t="s">
        <v>948</v>
      </c>
      <c r="C202" s="885" t="s">
        <v>1287</v>
      </c>
      <c r="D202" s="886" t="s">
        <v>930</v>
      </c>
      <c r="E202" s="886" t="s">
        <v>1053</v>
      </c>
      <c r="F202" s="886" t="s">
        <v>943</v>
      </c>
      <c r="G202" s="886" t="s">
        <v>940</v>
      </c>
      <c r="H202" s="887" t="s">
        <v>934</v>
      </c>
      <c r="I202" s="888">
        <v>3310.2185865537181</v>
      </c>
      <c r="J202" s="889" t="s">
        <v>935</v>
      </c>
      <c r="K202" s="890">
        <f>+I202*VLOOKUP(J202,'Factores Emisión EDGE'!$K$228:$L$230,2,FALSE)/1000</f>
        <v>0.99505170711804758</v>
      </c>
      <c r="L202" s="900">
        <f t="shared" si="0"/>
        <v>0.18215526780781915</v>
      </c>
    </row>
    <row r="203" spans="1:12" ht="14.25" customHeight="1">
      <c r="A203" s="883">
        <v>193</v>
      </c>
      <c r="B203" s="884" t="s">
        <v>944</v>
      </c>
      <c r="C203" s="885" t="s">
        <v>1288</v>
      </c>
      <c r="D203" s="886" t="s">
        <v>930</v>
      </c>
      <c r="E203" s="886" t="s">
        <v>1241</v>
      </c>
      <c r="F203" s="886" t="s">
        <v>943</v>
      </c>
      <c r="G203" s="886" t="s">
        <v>940</v>
      </c>
      <c r="H203" s="887" t="s">
        <v>934</v>
      </c>
      <c r="I203" s="888">
        <v>3305.4269447797979</v>
      </c>
      <c r="J203" s="889" t="s">
        <v>935</v>
      </c>
      <c r="K203" s="890">
        <f>+I203*VLOOKUP(J203,'Factores Emisión EDGE'!$K$228:$L$230,2,FALSE)/1000</f>
        <v>0.99361133960080716</v>
      </c>
      <c r="L203" s="900">
        <f t="shared" si="0"/>
        <v>0.18189159253449641</v>
      </c>
    </row>
    <row r="204" spans="1:12" ht="14.25" customHeight="1">
      <c r="A204" s="883">
        <v>194</v>
      </c>
      <c r="B204" s="884" t="s">
        <v>948</v>
      </c>
      <c r="C204" s="885" t="s">
        <v>1289</v>
      </c>
      <c r="D204" s="886" t="s">
        <v>930</v>
      </c>
      <c r="E204" s="886" t="s">
        <v>1056</v>
      </c>
      <c r="F204" s="886" t="s">
        <v>943</v>
      </c>
      <c r="G204" s="886" t="s">
        <v>940</v>
      </c>
      <c r="H204" s="887" t="s">
        <v>934</v>
      </c>
      <c r="I204" s="888">
        <v>3288</v>
      </c>
      <c r="J204" s="889" t="s">
        <v>935</v>
      </c>
      <c r="K204" s="890">
        <f>+I204*VLOOKUP(J204,'Factores Emisión EDGE'!$K$228:$L$230,2,FALSE)/1000</f>
        <v>0.98837279999999994</v>
      </c>
      <c r="L204" s="900">
        <f t="shared" si="0"/>
        <v>0.18093261967200003</v>
      </c>
    </row>
    <row r="205" spans="1:12" ht="14.25" customHeight="1">
      <c r="A205" s="883">
        <v>195</v>
      </c>
      <c r="B205" s="884" t="s">
        <v>948</v>
      </c>
      <c r="C205" s="885" t="s">
        <v>1290</v>
      </c>
      <c r="D205" s="886" t="s">
        <v>930</v>
      </c>
      <c r="E205" s="886" t="s">
        <v>1291</v>
      </c>
      <c r="F205" s="886" t="s">
        <v>943</v>
      </c>
      <c r="G205" s="886" t="s">
        <v>940</v>
      </c>
      <c r="H205" s="887" t="s">
        <v>934</v>
      </c>
      <c r="I205" s="888">
        <v>3060</v>
      </c>
      <c r="J205" s="889" t="s">
        <v>935</v>
      </c>
      <c r="K205" s="890">
        <f>+I205*VLOOKUP(J205,'Factores Emisión EDGE'!$K$228:$L$230,2,FALSE)/1000</f>
        <v>0.91983599999999988</v>
      </c>
      <c r="L205" s="900">
        <f t="shared" si="0"/>
        <v>0.16838619714</v>
      </c>
    </row>
    <row r="206" spans="1:12" ht="14.25" customHeight="1">
      <c r="A206" s="883">
        <v>196</v>
      </c>
      <c r="B206" s="884" t="s">
        <v>948</v>
      </c>
      <c r="C206" s="885" t="s">
        <v>1292</v>
      </c>
      <c r="D206" s="886" t="s">
        <v>930</v>
      </c>
      <c r="E206" s="886" t="s">
        <v>1053</v>
      </c>
      <c r="F206" s="886" t="s">
        <v>943</v>
      </c>
      <c r="G206" s="886" t="s">
        <v>940</v>
      </c>
      <c r="H206" s="887" t="s">
        <v>934</v>
      </c>
      <c r="I206" s="888">
        <v>2994.4030686520605</v>
      </c>
      <c r="J206" s="889" t="s">
        <v>935</v>
      </c>
      <c r="K206" s="890">
        <f>+I206*VLOOKUP(J206,'Factores Emisión EDGE'!$K$228:$L$230,2,FALSE)/1000</f>
        <v>0.90011756243680929</v>
      </c>
      <c r="L206" s="900">
        <f t="shared" si="0"/>
        <v>0.16477651811590419</v>
      </c>
    </row>
    <row r="207" spans="1:12" ht="14.25" customHeight="1">
      <c r="A207" s="883">
        <v>197</v>
      </c>
      <c r="B207" s="884" t="s">
        <v>937</v>
      </c>
      <c r="C207" s="885" t="s">
        <v>1293</v>
      </c>
      <c r="D207" s="886" t="s">
        <v>946</v>
      </c>
      <c r="E207" s="886" t="s">
        <v>1124</v>
      </c>
      <c r="F207" s="886" t="s">
        <v>976</v>
      </c>
      <c r="G207" s="886" t="s">
        <v>940</v>
      </c>
      <c r="H207" s="887" t="s">
        <v>934</v>
      </c>
      <c r="I207" s="888">
        <v>2974</v>
      </c>
      <c r="J207" s="889" t="s">
        <v>935</v>
      </c>
      <c r="K207" s="890">
        <f>+I207*VLOOKUP(J207,'Factores Emisión EDGE'!$K$228:$L$230,2,FALSE)/1000</f>
        <v>0.8939843999999999</v>
      </c>
      <c r="L207" s="900">
        <f t="shared" si="0"/>
        <v>0.163653774606</v>
      </c>
    </row>
    <row r="208" spans="1:12" ht="14.25" customHeight="1">
      <c r="A208" s="883">
        <v>198</v>
      </c>
      <c r="B208" s="884" t="s">
        <v>944</v>
      </c>
      <c r="C208" s="885" t="s">
        <v>1294</v>
      </c>
      <c r="D208" s="886" t="s">
        <v>959</v>
      </c>
      <c r="E208" s="886" t="s">
        <v>960</v>
      </c>
      <c r="F208" s="886" t="s">
        <v>1003</v>
      </c>
      <c r="G208" s="886" t="s">
        <v>940</v>
      </c>
      <c r="H208" s="887" t="s">
        <v>934</v>
      </c>
      <c r="I208" s="888">
        <v>2809.7168601316116</v>
      </c>
      <c r="J208" s="889" t="s">
        <v>935</v>
      </c>
      <c r="K208" s="890">
        <f>+I208*VLOOKUP(J208,'Factores Emisión EDGE'!$K$228:$L$230,2,FALSE)/1000</f>
        <v>0.84460088815556245</v>
      </c>
      <c r="L208" s="900">
        <f t="shared" si="0"/>
        <v>0.15461357422147168</v>
      </c>
    </row>
    <row r="209" spans="1:12" ht="14.25" customHeight="1">
      <c r="A209" s="883">
        <v>199</v>
      </c>
      <c r="B209" s="884" t="s">
        <v>948</v>
      </c>
      <c r="C209" s="885" t="s">
        <v>1295</v>
      </c>
      <c r="D209" s="886" t="s">
        <v>930</v>
      </c>
      <c r="E209" s="886" t="s">
        <v>1053</v>
      </c>
      <c r="F209" s="886" t="s">
        <v>943</v>
      </c>
      <c r="G209" s="886" t="s">
        <v>940</v>
      </c>
      <c r="H209" s="887" t="s">
        <v>934</v>
      </c>
      <c r="I209" s="888">
        <v>2795.4745790240618</v>
      </c>
      <c r="J209" s="889" t="s">
        <v>935</v>
      </c>
      <c r="K209" s="890">
        <f>+I209*VLOOKUP(J209,'Factores Emisión EDGE'!$K$228:$L$230,2,FALSE)/1000</f>
        <v>0.84031965845463286</v>
      </c>
      <c r="L209" s="900">
        <f t="shared" si="0"/>
        <v>0.15382984756973994</v>
      </c>
    </row>
    <row r="210" spans="1:12" ht="14.25" customHeight="1">
      <c r="A210" s="883">
        <v>200</v>
      </c>
      <c r="B210" s="943" t="s">
        <v>948</v>
      </c>
      <c r="C210" s="885" t="s">
        <v>1296</v>
      </c>
      <c r="D210" s="885" t="s">
        <v>930</v>
      </c>
      <c r="E210" s="885" t="s">
        <v>1053</v>
      </c>
      <c r="F210" s="885" t="s">
        <v>943</v>
      </c>
      <c r="G210" s="886" t="s">
        <v>940</v>
      </c>
      <c r="H210" s="944" t="s">
        <v>934</v>
      </c>
      <c r="I210" s="888">
        <v>2735.18</v>
      </c>
      <c r="J210" s="889" t="s">
        <v>935</v>
      </c>
      <c r="K210" s="890">
        <f>+I210*VLOOKUP(J210,'Factores Emisión EDGE'!$K$228:$L$230,2,FALSE)/1000</f>
        <v>0.82219510799999984</v>
      </c>
      <c r="L210" s="900">
        <f t="shared" si="0"/>
        <v>0.15051194728542</v>
      </c>
    </row>
    <row r="211" spans="1:12" ht="14.25" customHeight="1">
      <c r="A211" s="883">
        <v>201</v>
      </c>
      <c r="B211" s="884" t="s">
        <v>944</v>
      </c>
      <c r="C211" s="885" t="s">
        <v>1297</v>
      </c>
      <c r="D211" s="886" t="s">
        <v>950</v>
      </c>
      <c r="E211" s="886" t="s">
        <v>1103</v>
      </c>
      <c r="F211" s="886" t="s">
        <v>1010</v>
      </c>
      <c r="G211" s="886" t="s">
        <v>940</v>
      </c>
      <c r="H211" s="887" t="s">
        <v>934</v>
      </c>
      <c r="I211" s="888">
        <v>2706</v>
      </c>
      <c r="J211" s="889" t="s">
        <v>935</v>
      </c>
      <c r="K211" s="890">
        <f>+I211*VLOOKUP(J211,'Factores Emisión EDGE'!$K$228:$L$230,2,FALSE)/1000</f>
        <v>0.81342359999999991</v>
      </c>
      <c r="L211" s="900">
        <f t="shared" si="0"/>
        <v>0.14890622531400002</v>
      </c>
    </row>
    <row r="212" spans="1:12" ht="14.25" customHeight="1">
      <c r="A212" s="883">
        <v>202</v>
      </c>
      <c r="B212" s="884" t="s">
        <v>944</v>
      </c>
      <c r="C212" s="885" t="s">
        <v>1298</v>
      </c>
      <c r="D212" s="886" t="s">
        <v>959</v>
      </c>
      <c r="E212" s="886" t="s">
        <v>960</v>
      </c>
      <c r="F212" s="886" t="s">
        <v>1003</v>
      </c>
      <c r="G212" s="886" t="s">
        <v>940</v>
      </c>
      <c r="H212" s="887" t="s">
        <v>934</v>
      </c>
      <c r="I212" s="888">
        <v>2653</v>
      </c>
      <c r="J212" s="889" t="s">
        <v>935</v>
      </c>
      <c r="K212" s="890">
        <f>+I212*VLOOKUP(J212,'Factores Emisión EDGE'!$K$228:$L$230,2,FALSE)/1000</f>
        <v>0.79749179999999986</v>
      </c>
      <c r="L212" s="900">
        <f t="shared" si="0"/>
        <v>0.145989732357</v>
      </c>
    </row>
    <row r="213" spans="1:12" ht="14.25" customHeight="1">
      <c r="A213" s="883">
        <v>203</v>
      </c>
      <c r="B213" s="884" t="s">
        <v>948</v>
      </c>
      <c r="C213" s="885" t="s">
        <v>1299</v>
      </c>
      <c r="D213" s="886" t="s">
        <v>946</v>
      </c>
      <c r="E213" s="886" t="s">
        <v>979</v>
      </c>
      <c r="F213" s="886" t="s">
        <v>947</v>
      </c>
      <c r="G213" s="886" t="s">
        <v>940</v>
      </c>
      <c r="H213" s="887" t="s">
        <v>934</v>
      </c>
      <c r="I213" s="888">
        <v>2628</v>
      </c>
      <c r="J213" s="889" t="s">
        <v>935</v>
      </c>
      <c r="K213" s="890">
        <f>+I213*VLOOKUP(J213,'Factores Emisión EDGE'!$K$228:$L$230,2,FALSE)/1000</f>
        <v>0.78997679999999992</v>
      </c>
      <c r="L213" s="900">
        <f t="shared" si="0"/>
        <v>0.14461402813200003</v>
      </c>
    </row>
    <row r="214" spans="1:12" ht="14.25" customHeight="1">
      <c r="A214" s="883">
        <v>204</v>
      </c>
      <c r="B214" s="884" t="s">
        <v>948</v>
      </c>
      <c r="C214" s="885" t="s">
        <v>1300</v>
      </c>
      <c r="D214" s="886" t="s">
        <v>930</v>
      </c>
      <c r="E214" s="886" t="s">
        <v>1053</v>
      </c>
      <c r="F214" s="886" t="s">
        <v>943</v>
      </c>
      <c r="G214" s="886" t="s">
        <v>940</v>
      </c>
      <c r="H214" s="887" t="s">
        <v>934</v>
      </c>
      <c r="I214" s="888">
        <v>2602.7600000000002</v>
      </c>
      <c r="J214" s="889" t="s">
        <v>935</v>
      </c>
      <c r="K214" s="890">
        <f>+I214*VLOOKUP(J214,'Factores Emisión EDGE'!$K$228:$L$230,2,FALSE)/1000</f>
        <v>0.7823896560000001</v>
      </c>
      <c r="L214" s="900">
        <f t="shared" si="0"/>
        <v>0.14322511714644004</v>
      </c>
    </row>
    <row r="215" spans="1:12" ht="14.25" customHeight="1">
      <c r="A215" s="883">
        <v>205</v>
      </c>
      <c r="B215" s="884" t="s">
        <v>944</v>
      </c>
      <c r="C215" s="885" t="s">
        <v>1301</v>
      </c>
      <c r="D215" s="886" t="s">
        <v>1170</v>
      </c>
      <c r="E215" s="886" t="s">
        <v>989</v>
      </c>
      <c r="F215" s="886" t="s">
        <v>1010</v>
      </c>
      <c r="G215" s="886" t="s">
        <v>940</v>
      </c>
      <c r="H215" s="887" t="s">
        <v>934</v>
      </c>
      <c r="I215" s="888">
        <v>2539</v>
      </c>
      <c r="J215" s="889" t="s">
        <v>935</v>
      </c>
      <c r="K215" s="890">
        <f>+I215*VLOOKUP(J215,'Factores Emisión EDGE'!$K$228:$L$230,2,FALSE)/1000</f>
        <v>0.7632234</v>
      </c>
      <c r="L215" s="900">
        <f t="shared" si="0"/>
        <v>0.139716521091</v>
      </c>
    </row>
    <row r="216" spans="1:12" ht="14.25" customHeight="1">
      <c r="A216" s="883">
        <v>206</v>
      </c>
      <c r="B216" s="943" t="s">
        <v>944</v>
      </c>
      <c r="C216" s="885" t="s">
        <v>1302</v>
      </c>
      <c r="D216" s="885" t="s">
        <v>999</v>
      </c>
      <c r="E216" s="885" t="s">
        <v>1303</v>
      </c>
      <c r="F216" s="885" t="s">
        <v>1003</v>
      </c>
      <c r="G216" s="885" t="s">
        <v>940</v>
      </c>
      <c r="H216" s="944" t="s">
        <v>934</v>
      </c>
      <c r="I216" s="888">
        <v>2352</v>
      </c>
      <c r="J216" s="889" t="s">
        <v>935</v>
      </c>
      <c r="K216" s="890">
        <f>+I216*VLOOKUP(J216,'Factores Emisión EDGE'!$K$228:$L$230,2,FALSE)/1000</f>
        <v>0.70701119999999995</v>
      </c>
      <c r="L216" s="900">
        <f t="shared" si="0"/>
        <v>0.12942625348800002</v>
      </c>
    </row>
    <row r="217" spans="1:12" ht="14.25" customHeight="1">
      <c r="A217" s="883">
        <v>207</v>
      </c>
      <c r="B217" s="884" t="s">
        <v>948</v>
      </c>
      <c r="C217" s="885" t="s">
        <v>1304</v>
      </c>
      <c r="D217" s="886" t="s">
        <v>959</v>
      </c>
      <c r="E217" s="886" t="s">
        <v>960</v>
      </c>
      <c r="F217" s="886" t="s">
        <v>1003</v>
      </c>
      <c r="G217" s="886" t="s">
        <v>940</v>
      </c>
      <c r="H217" s="887" t="s">
        <v>934</v>
      </c>
      <c r="I217" s="888">
        <v>2275.2987603941169</v>
      </c>
      <c r="J217" s="889" t="s">
        <v>935</v>
      </c>
      <c r="K217" s="890">
        <f>+I217*VLOOKUP(J217,'Factores Emisión EDGE'!$K$228:$L$230,2,FALSE)/1000</f>
        <v>0.68395480737447145</v>
      </c>
      <c r="L217" s="900">
        <f t="shared" si="0"/>
        <v>0.12520552471245797</v>
      </c>
    </row>
    <row r="218" spans="1:12" ht="14.25" customHeight="1">
      <c r="A218" s="883">
        <v>208</v>
      </c>
      <c r="B218" s="884" t="s">
        <v>948</v>
      </c>
      <c r="C218" s="885" t="s">
        <v>1305</v>
      </c>
      <c r="D218" s="886" t="s">
        <v>930</v>
      </c>
      <c r="E218" s="886" t="s">
        <v>1056</v>
      </c>
      <c r="F218" s="886" t="s">
        <v>943</v>
      </c>
      <c r="G218" s="886" t="s">
        <v>940</v>
      </c>
      <c r="H218" s="887" t="s">
        <v>934</v>
      </c>
      <c r="I218" s="888">
        <v>2211</v>
      </c>
      <c r="J218" s="889" t="s">
        <v>935</v>
      </c>
      <c r="K218" s="890">
        <f>+I218*VLOOKUP(J218,'Factores Emisión EDGE'!$K$228:$L$230,2,FALSE)/1000</f>
        <v>0.66462659999999996</v>
      </c>
      <c r="L218" s="900">
        <f t="shared" si="0"/>
        <v>0.12166728165900001</v>
      </c>
    </row>
    <row r="219" spans="1:12" ht="14.25" customHeight="1">
      <c r="A219" s="883">
        <v>209</v>
      </c>
      <c r="B219" s="884" t="s">
        <v>948</v>
      </c>
      <c r="C219" s="885" t="s">
        <v>1306</v>
      </c>
      <c r="D219" s="886" t="s">
        <v>930</v>
      </c>
      <c r="E219" s="886" t="s">
        <v>1307</v>
      </c>
      <c r="F219" s="886" t="s">
        <v>943</v>
      </c>
      <c r="G219" s="886" t="s">
        <v>940</v>
      </c>
      <c r="H219" s="887" t="s">
        <v>934</v>
      </c>
      <c r="I219" s="888">
        <v>2112</v>
      </c>
      <c r="J219" s="889" t="s">
        <v>935</v>
      </c>
      <c r="K219" s="890">
        <f>+I219*VLOOKUP(J219,'Factores Emisión EDGE'!$K$228:$L$230,2,FALSE)/1000</f>
        <v>0.63486719999999996</v>
      </c>
      <c r="L219" s="900">
        <f t="shared" si="0"/>
        <v>0.116219492928</v>
      </c>
    </row>
    <row r="220" spans="1:12" ht="14.25" customHeight="1">
      <c r="A220" s="883">
        <v>210</v>
      </c>
      <c r="B220" s="884" t="s">
        <v>948</v>
      </c>
      <c r="C220" s="885" t="s">
        <v>1308</v>
      </c>
      <c r="D220" s="886" t="s">
        <v>930</v>
      </c>
      <c r="E220" s="886" t="s">
        <v>986</v>
      </c>
      <c r="F220" s="886" t="s">
        <v>943</v>
      </c>
      <c r="G220" s="886" t="s">
        <v>940</v>
      </c>
      <c r="H220" s="887" t="s">
        <v>934</v>
      </c>
      <c r="I220" s="888">
        <v>2107.7429259996675</v>
      </c>
      <c r="J220" s="889" t="s">
        <v>935</v>
      </c>
      <c r="K220" s="890">
        <f>+I220*VLOOKUP(J220,'Factores Emisión EDGE'!$K$228:$L$230,2,FALSE)/1000</f>
        <v>0.63358752355549997</v>
      </c>
      <c r="L220" s="900">
        <f t="shared" si="0"/>
        <v>0.1159852339404642</v>
      </c>
    </row>
    <row r="221" spans="1:12" ht="14.25" customHeight="1">
      <c r="A221" s="883">
        <v>211</v>
      </c>
      <c r="B221" s="884" t="s">
        <v>948</v>
      </c>
      <c r="C221" s="885" t="s">
        <v>1309</v>
      </c>
      <c r="D221" s="886" t="s">
        <v>946</v>
      </c>
      <c r="E221" s="886" t="s">
        <v>1310</v>
      </c>
      <c r="F221" s="886" t="s">
        <v>947</v>
      </c>
      <c r="G221" s="886" t="s">
        <v>940</v>
      </c>
      <c r="H221" s="887" t="s">
        <v>934</v>
      </c>
      <c r="I221" s="888">
        <v>2040.7599999999998</v>
      </c>
      <c r="J221" s="889" t="s">
        <v>935</v>
      </c>
      <c r="K221" s="890">
        <f>+I221*VLOOKUP(J221,'Factores Emisión EDGE'!$K$228:$L$230,2,FALSE)/1000</f>
        <v>0.61345245599999987</v>
      </c>
      <c r="L221" s="900">
        <f t="shared" si="0"/>
        <v>0.11229928616844</v>
      </c>
    </row>
    <row r="222" spans="1:12" ht="14.25" customHeight="1">
      <c r="A222" s="883">
        <v>212</v>
      </c>
      <c r="B222" s="884" t="s">
        <v>948</v>
      </c>
      <c r="C222" s="885" t="s">
        <v>1090</v>
      </c>
      <c r="D222" s="886" t="s">
        <v>930</v>
      </c>
      <c r="E222" s="886" t="s">
        <v>1090</v>
      </c>
      <c r="F222" s="886" t="s">
        <v>943</v>
      </c>
      <c r="G222" s="886" t="s">
        <v>940</v>
      </c>
      <c r="H222" s="887" t="s">
        <v>934</v>
      </c>
      <c r="I222" s="888">
        <v>1968.8500000000001</v>
      </c>
      <c r="J222" s="889" t="s">
        <v>935</v>
      </c>
      <c r="K222" s="890">
        <f>+I222*VLOOKUP(J222,'Factores Emisión EDGE'!$K$228:$L$230,2,FALSE)/1000</f>
        <v>0.59183631000000003</v>
      </c>
      <c r="L222" s="900">
        <f t="shared" si="0"/>
        <v>0.10834221053565</v>
      </c>
    </row>
    <row r="223" spans="1:12" ht="14.25" customHeight="1">
      <c r="A223" s="883">
        <v>213</v>
      </c>
      <c r="B223" s="884" t="s">
        <v>944</v>
      </c>
      <c r="C223" s="885" t="s">
        <v>1311</v>
      </c>
      <c r="D223" s="886" t="s">
        <v>1012</v>
      </c>
      <c r="E223" s="886" t="s">
        <v>1311</v>
      </c>
      <c r="F223" s="886" t="s">
        <v>993</v>
      </c>
      <c r="G223" s="886" t="s">
        <v>940</v>
      </c>
      <c r="H223" s="887" t="s">
        <v>934</v>
      </c>
      <c r="I223" s="888">
        <v>1928.6203498990678</v>
      </c>
      <c r="J223" s="889" t="s">
        <v>935</v>
      </c>
      <c r="K223" s="890">
        <f>+I223*VLOOKUP(J223,'Factores Emisión EDGE'!$K$228:$L$230,2,FALSE)/1000</f>
        <v>0.57974327717965979</v>
      </c>
      <c r="L223" s="900">
        <f t="shared" si="0"/>
        <v>0.10612844655108505</v>
      </c>
    </row>
    <row r="224" spans="1:12" ht="14.25" customHeight="1">
      <c r="A224" s="883">
        <v>214</v>
      </c>
      <c r="B224" s="884" t="s">
        <v>941</v>
      </c>
      <c r="C224" s="885" t="s">
        <v>1312</v>
      </c>
      <c r="D224" s="886" t="s">
        <v>930</v>
      </c>
      <c r="E224" s="886" t="s">
        <v>1107</v>
      </c>
      <c r="F224" s="886" t="s">
        <v>932</v>
      </c>
      <c r="G224" s="886" t="s">
        <v>940</v>
      </c>
      <c r="H224" s="887" t="s">
        <v>934</v>
      </c>
      <c r="I224" s="888">
        <v>1841</v>
      </c>
      <c r="J224" s="889" t="s">
        <v>935</v>
      </c>
      <c r="K224" s="890">
        <f>+I224*VLOOKUP(J224,'Factores Emisión EDGE'!$K$228:$L$230,2,FALSE)/1000</f>
        <v>0.55340459999999991</v>
      </c>
      <c r="L224" s="900">
        <f t="shared" si="0"/>
        <v>0.101306859129</v>
      </c>
    </row>
    <row r="225" spans="1:12" ht="14.25" customHeight="1">
      <c r="A225" s="965">
        <v>215</v>
      </c>
      <c r="B225" s="884" t="s">
        <v>948</v>
      </c>
      <c r="C225" s="885" t="s">
        <v>1053</v>
      </c>
      <c r="D225" s="886" t="s">
        <v>930</v>
      </c>
      <c r="E225" s="886" t="s">
        <v>1053</v>
      </c>
      <c r="F225" s="886" t="s">
        <v>932</v>
      </c>
      <c r="G225" s="886" t="s">
        <v>940</v>
      </c>
      <c r="H225" s="887" t="s">
        <v>934</v>
      </c>
      <c r="I225" s="888">
        <v>1792</v>
      </c>
      <c r="J225" s="889" t="s">
        <v>935</v>
      </c>
      <c r="K225" s="890">
        <f>+I225*VLOOKUP(J225,'Factores Emisión EDGE'!$K$228:$L$230,2,FALSE)/1000</f>
        <v>0.53867519999999991</v>
      </c>
      <c r="L225" s="900">
        <f t="shared" si="0"/>
        <v>9.8610478848000005E-2</v>
      </c>
    </row>
    <row r="226" spans="1:12" ht="14.25" customHeight="1">
      <c r="A226" s="883">
        <v>216</v>
      </c>
      <c r="B226" s="884" t="s">
        <v>948</v>
      </c>
      <c r="C226" s="885" t="s">
        <v>1313</v>
      </c>
      <c r="D226" s="886" t="s">
        <v>930</v>
      </c>
      <c r="E226" s="886" t="s">
        <v>1307</v>
      </c>
      <c r="F226" s="886" t="s">
        <v>943</v>
      </c>
      <c r="G226" s="886" t="s">
        <v>940</v>
      </c>
      <c r="H226" s="887" t="s">
        <v>934</v>
      </c>
      <c r="I226" s="888">
        <v>1344</v>
      </c>
      <c r="J226" s="889" t="s">
        <v>935</v>
      </c>
      <c r="K226" s="890">
        <f>+I226*VLOOKUP(J226,'Factores Emisión EDGE'!$K$228:$L$230,2,FALSE)/1000</f>
        <v>0.40400639999999999</v>
      </c>
      <c r="L226" s="900">
        <f t="shared" si="0"/>
        <v>7.395785913599999E-2</v>
      </c>
    </row>
    <row r="227" spans="1:12" ht="14.25" customHeight="1">
      <c r="A227" s="883">
        <v>217</v>
      </c>
      <c r="B227" s="884" t="s">
        <v>941</v>
      </c>
      <c r="C227" s="946" t="s">
        <v>1314</v>
      </c>
      <c r="D227" s="886" t="s">
        <v>950</v>
      </c>
      <c r="E227" s="886" t="s">
        <v>1009</v>
      </c>
      <c r="F227" s="886" t="s">
        <v>1010</v>
      </c>
      <c r="G227" s="886" t="s">
        <v>940</v>
      </c>
      <c r="H227" s="887" t="s">
        <v>934</v>
      </c>
      <c r="I227" s="888">
        <v>1338.75</v>
      </c>
      <c r="J227" s="889" t="s">
        <v>935</v>
      </c>
      <c r="K227" s="890">
        <f>+I227*VLOOKUP(J227,'Factores Emisión EDGE'!$K$228:$L$230,2,FALSE)/1000</f>
        <v>0.40242824999999999</v>
      </c>
      <c r="L227" s="900">
        <f t="shared" si="0"/>
        <v>7.3668961248750012E-2</v>
      </c>
    </row>
    <row r="228" spans="1:12" ht="14.25" customHeight="1">
      <c r="A228" s="883">
        <v>218</v>
      </c>
      <c r="B228" s="884" t="s">
        <v>948</v>
      </c>
      <c r="C228" s="885" t="s">
        <v>1122</v>
      </c>
      <c r="D228" s="886" t="s">
        <v>930</v>
      </c>
      <c r="E228" s="886" t="s">
        <v>1122</v>
      </c>
      <c r="F228" s="886" t="s">
        <v>943</v>
      </c>
      <c r="G228" s="886" t="s">
        <v>940</v>
      </c>
      <c r="H228" s="887" t="s">
        <v>934</v>
      </c>
      <c r="I228" s="888">
        <v>1191.1399999999999</v>
      </c>
      <c r="J228" s="889" t="s">
        <v>935</v>
      </c>
      <c r="K228" s="890">
        <f>+I228*VLOOKUP(J228,'Factores Emisión EDGE'!$K$228:$L$230,2,FALSE)/1000</f>
        <v>0.35805668399999996</v>
      </c>
      <c r="L228" s="900">
        <f t="shared" si="0"/>
        <v>6.554625322266E-2</v>
      </c>
    </row>
    <row r="229" spans="1:12" ht="14.25" customHeight="1">
      <c r="A229" s="883">
        <v>219</v>
      </c>
      <c r="B229" s="884" t="s">
        <v>948</v>
      </c>
      <c r="C229" s="885" t="s">
        <v>1315</v>
      </c>
      <c r="D229" s="886" t="s">
        <v>930</v>
      </c>
      <c r="E229" s="886" t="s">
        <v>1291</v>
      </c>
      <c r="F229" s="886" t="s">
        <v>943</v>
      </c>
      <c r="G229" s="886" t="s">
        <v>940</v>
      </c>
      <c r="H229" s="887" t="s">
        <v>934</v>
      </c>
      <c r="I229" s="888">
        <v>1179.2686206709802</v>
      </c>
      <c r="J229" s="889" t="s">
        <v>935</v>
      </c>
      <c r="K229" s="890">
        <f>+I229*VLOOKUP(J229,'Factores Emisión EDGE'!$K$228:$L$230,2,FALSE)/1000</f>
        <v>0.3544881473736966</v>
      </c>
      <c r="L229" s="900">
        <f t="shared" si="0"/>
        <v>6.4892992954679596E-2</v>
      </c>
    </row>
    <row r="230" spans="1:12" ht="14.25" customHeight="1">
      <c r="A230" s="883">
        <v>220</v>
      </c>
      <c r="B230" s="884" t="s">
        <v>944</v>
      </c>
      <c r="C230" s="885" t="s">
        <v>1316</v>
      </c>
      <c r="D230" s="886" t="s">
        <v>946</v>
      </c>
      <c r="E230" s="886" t="s">
        <v>1124</v>
      </c>
      <c r="F230" s="886" t="s">
        <v>947</v>
      </c>
      <c r="G230" s="886" t="s">
        <v>940</v>
      </c>
      <c r="H230" s="887" t="s">
        <v>934</v>
      </c>
      <c r="I230" s="888">
        <v>1110</v>
      </c>
      <c r="J230" s="889" t="s">
        <v>935</v>
      </c>
      <c r="K230" s="890">
        <f>+I230*VLOOKUP(J230,'Factores Emisión EDGE'!$K$228:$L$230,2,FALSE)/1000</f>
        <v>0.33366600000000002</v>
      </c>
      <c r="L230" s="900">
        <f t="shared" si="0"/>
        <v>6.1081267590000002E-2</v>
      </c>
    </row>
    <row r="231" spans="1:12" ht="14.25" customHeight="1">
      <c r="A231" s="883">
        <v>221</v>
      </c>
      <c r="B231" s="884" t="s">
        <v>941</v>
      </c>
      <c r="C231" s="885" t="s">
        <v>1317</v>
      </c>
      <c r="D231" s="886" t="s">
        <v>991</v>
      </c>
      <c r="E231" s="886" t="s">
        <v>992</v>
      </c>
      <c r="F231" s="886" t="s">
        <v>972</v>
      </c>
      <c r="G231" s="886" t="s">
        <v>940</v>
      </c>
      <c r="H231" s="887" t="s">
        <v>934</v>
      </c>
      <c r="I231" s="888">
        <v>878</v>
      </c>
      <c r="J231" s="889" t="s">
        <v>935</v>
      </c>
      <c r="K231" s="890">
        <f>+I231*VLOOKUP(J231,'Factores Emisión EDGE'!$K$228:$L$230,2,FALSE)/1000</f>
        <v>0.26392679999999996</v>
      </c>
      <c r="L231" s="900">
        <f t="shared" si="0"/>
        <v>4.8314732382E-2</v>
      </c>
    </row>
    <row r="232" spans="1:12" ht="14.25" customHeight="1">
      <c r="A232" s="883">
        <v>222</v>
      </c>
      <c r="B232" s="884" t="s">
        <v>948</v>
      </c>
      <c r="C232" s="885" t="s">
        <v>1318</v>
      </c>
      <c r="D232" s="886" t="s">
        <v>946</v>
      </c>
      <c r="E232" s="886" t="s">
        <v>946</v>
      </c>
      <c r="F232" s="886" t="s">
        <v>947</v>
      </c>
      <c r="G232" s="886" t="s">
        <v>940</v>
      </c>
      <c r="H232" s="887" t="s">
        <v>934</v>
      </c>
      <c r="I232" s="888">
        <v>737</v>
      </c>
      <c r="J232" s="889" t="s">
        <v>935</v>
      </c>
      <c r="K232" s="890">
        <f>+I232*VLOOKUP(J232,'Factores Emisión EDGE'!$K$228:$L$230,2,FALSE)/1000</f>
        <v>0.22154219999999997</v>
      </c>
      <c r="L232" s="900">
        <f t="shared" si="0"/>
        <v>4.0555760552999996E-2</v>
      </c>
    </row>
    <row r="233" spans="1:12" ht="14.25" customHeight="1">
      <c r="A233" s="883">
        <v>223</v>
      </c>
      <c r="B233" s="884" t="s">
        <v>948</v>
      </c>
      <c r="C233" s="885" t="s">
        <v>1319</v>
      </c>
      <c r="D233" s="886" t="s">
        <v>930</v>
      </c>
      <c r="E233" s="886" t="s">
        <v>1027</v>
      </c>
      <c r="F233" s="886" t="s">
        <v>943</v>
      </c>
      <c r="G233" s="886" t="s">
        <v>940</v>
      </c>
      <c r="H233" s="887" t="s">
        <v>934</v>
      </c>
      <c r="I233" s="888">
        <v>672</v>
      </c>
      <c r="J233" s="889" t="s">
        <v>935</v>
      </c>
      <c r="K233" s="890">
        <f>+I233*VLOOKUP(J233,'Factores Emisión EDGE'!$K$228:$L$230,2,FALSE)/1000</f>
        <v>0.20200319999999999</v>
      </c>
      <c r="L233" s="900">
        <f t="shared" si="0"/>
        <v>3.6978929567999995E-2</v>
      </c>
    </row>
    <row r="234" spans="1:12" ht="14.25" customHeight="1">
      <c r="A234" s="883">
        <v>224</v>
      </c>
      <c r="B234" s="884" t="s">
        <v>948</v>
      </c>
      <c r="C234" s="885" t="s">
        <v>1320</v>
      </c>
      <c r="D234" s="886" t="s">
        <v>930</v>
      </c>
      <c r="E234" s="886" t="s">
        <v>1059</v>
      </c>
      <c r="F234" s="886" t="s">
        <v>943</v>
      </c>
      <c r="G234" s="886" t="s">
        <v>940</v>
      </c>
      <c r="H234" s="887" t="s">
        <v>934</v>
      </c>
      <c r="I234" s="888">
        <v>644</v>
      </c>
      <c r="J234" s="889" t="s">
        <v>935</v>
      </c>
      <c r="K234" s="890">
        <f>+I234*VLOOKUP(J234,'Factores Emisión EDGE'!$K$228:$L$230,2,FALSE)/1000</f>
        <v>0.19358639999999999</v>
      </c>
      <c r="L234" s="900">
        <f t="shared" si="0"/>
        <v>3.5438140836000005E-2</v>
      </c>
    </row>
    <row r="235" spans="1:12" ht="14.25" customHeight="1">
      <c r="A235" s="883">
        <v>225</v>
      </c>
      <c r="B235" s="884" t="s">
        <v>948</v>
      </c>
      <c r="C235" s="885" t="s">
        <v>1321</v>
      </c>
      <c r="D235" s="886" t="s">
        <v>930</v>
      </c>
      <c r="E235" s="886" t="s">
        <v>1031</v>
      </c>
      <c r="F235" s="886" t="s">
        <v>943</v>
      </c>
      <c r="G235" s="886" t="s">
        <v>940</v>
      </c>
      <c r="H235" s="887" t="s">
        <v>934</v>
      </c>
      <c r="I235" s="888">
        <v>639</v>
      </c>
      <c r="J235" s="889" t="s">
        <v>935</v>
      </c>
      <c r="K235" s="890">
        <f>+I235*VLOOKUP(J235,'Factores Emisión EDGE'!$K$228:$L$230,2,FALSE)/1000</f>
        <v>0.19208339999999999</v>
      </c>
      <c r="L235" s="900">
        <f t="shared" si="0"/>
        <v>3.5162999990999998E-2</v>
      </c>
    </row>
    <row r="236" spans="1:12" ht="14.25" customHeight="1">
      <c r="A236" s="883">
        <v>226</v>
      </c>
      <c r="B236" s="884" t="s">
        <v>948</v>
      </c>
      <c r="C236" s="946" t="s">
        <v>1307</v>
      </c>
      <c r="D236" s="946" t="s">
        <v>930</v>
      </c>
      <c r="E236" s="886" t="s">
        <v>1307</v>
      </c>
      <c r="F236" s="886" t="s">
        <v>932</v>
      </c>
      <c r="G236" s="886" t="s">
        <v>940</v>
      </c>
      <c r="H236" s="887" t="s">
        <v>934</v>
      </c>
      <c r="I236" s="888">
        <v>624</v>
      </c>
      <c r="J236" s="889" t="s">
        <v>935</v>
      </c>
      <c r="K236" s="890">
        <f>+I236*VLOOKUP(J236,'Factores Emisión EDGE'!$K$228:$L$230,2,FALSE)/1000</f>
        <v>0.1875744</v>
      </c>
      <c r="L236" s="900">
        <f t="shared" si="0"/>
        <v>3.4337577455999996E-2</v>
      </c>
    </row>
    <row r="237" spans="1:12" ht="14.25" customHeight="1">
      <c r="A237" s="883">
        <v>227</v>
      </c>
      <c r="B237" s="884" t="s">
        <v>941</v>
      </c>
      <c r="C237" s="885" t="s">
        <v>1322</v>
      </c>
      <c r="D237" s="886" t="s">
        <v>930</v>
      </c>
      <c r="E237" s="886" t="s">
        <v>1291</v>
      </c>
      <c r="F237" s="886" t="s">
        <v>932</v>
      </c>
      <c r="G237" s="886" t="s">
        <v>940</v>
      </c>
      <c r="H237" s="887" t="s">
        <v>934</v>
      </c>
      <c r="I237" s="888">
        <v>521.94000000000005</v>
      </c>
      <c r="J237" s="889" t="s">
        <v>935</v>
      </c>
      <c r="K237" s="890">
        <f>+I237*VLOOKUP(J237,'Factores Emisión EDGE'!$K$228:$L$230,2,FALSE)/1000</f>
        <v>0.156895164</v>
      </c>
      <c r="L237" s="900">
        <f t="shared" si="0"/>
        <v>2.8721402527860006E-2</v>
      </c>
    </row>
    <row r="238" spans="1:12" ht="14.25" customHeight="1">
      <c r="A238" s="965">
        <v>228</v>
      </c>
      <c r="B238" s="884" t="s">
        <v>948</v>
      </c>
      <c r="C238" s="885" t="s">
        <v>1323</v>
      </c>
      <c r="D238" s="886" t="s">
        <v>930</v>
      </c>
      <c r="E238" s="886" t="s">
        <v>1324</v>
      </c>
      <c r="F238" s="886" t="s">
        <v>943</v>
      </c>
      <c r="G238" s="886" t="s">
        <v>940</v>
      </c>
      <c r="H238" s="887" t="s">
        <v>934</v>
      </c>
      <c r="I238" s="888">
        <v>336</v>
      </c>
      <c r="J238" s="889" t="s">
        <v>935</v>
      </c>
      <c r="K238" s="890">
        <f>+I238*VLOOKUP(J238,'Factores Emisión EDGE'!$K$228:$L$230,2,FALSE)/1000</f>
        <v>0.1010016</v>
      </c>
      <c r="L238" s="900">
        <f t="shared" si="0"/>
        <v>1.8489464783999997E-2</v>
      </c>
    </row>
    <row r="239" spans="1:12" ht="14.25" customHeight="1">
      <c r="A239" s="883">
        <v>229</v>
      </c>
      <c r="B239" s="884" t="s">
        <v>948</v>
      </c>
      <c r="C239" s="885" t="s">
        <v>1325</v>
      </c>
      <c r="D239" s="886" t="s">
        <v>930</v>
      </c>
      <c r="E239" s="886" t="s">
        <v>1307</v>
      </c>
      <c r="F239" s="886" t="s">
        <v>943</v>
      </c>
      <c r="G239" s="886" t="s">
        <v>940</v>
      </c>
      <c r="H239" s="887" t="s">
        <v>934</v>
      </c>
      <c r="I239" s="888">
        <v>250</v>
      </c>
      <c r="J239" s="889" t="s">
        <v>935</v>
      </c>
      <c r="K239" s="890">
        <f>+I239*VLOOKUP(J239,'Factores Emisión EDGE'!$K$228:$L$230,2,FALSE)/1000</f>
        <v>7.5149999999999995E-2</v>
      </c>
      <c r="L239" s="900">
        <f t="shared" si="0"/>
        <v>1.375704225E-2</v>
      </c>
    </row>
    <row r="240" spans="1:12" ht="14.25" customHeight="1">
      <c r="A240" s="883">
        <v>230</v>
      </c>
      <c r="B240" s="884" t="s">
        <v>948</v>
      </c>
      <c r="C240" s="885" t="s">
        <v>1326</v>
      </c>
      <c r="D240" s="886" t="s">
        <v>930</v>
      </c>
      <c r="E240" s="886" t="s">
        <v>1307</v>
      </c>
      <c r="F240" s="886" t="s">
        <v>943</v>
      </c>
      <c r="G240" s="886" t="s">
        <v>940</v>
      </c>
      <c r="H240" s="887" t="s">
        <v>934</v>
      </c>
      <c r="I240" s="888">
        <v>122</v>
      </c>
      <c r="J240" s="889" t="s">
        <v>935</v>
      </c>
      <c r="K240" s="890">
        <f>+I240*VLOOKUP(J240,'Factores Emisión EDGE'!$K$228:$L$230,2,FALSE)/1000</f>
        <v>3.6673199999999996E-2</v>
      </c>
      <c r="L240" s="900">
        <f t="shared" si="0"/>
        <v>6.7134366179999998E-3</v>
      </c>
    </row>
    <row r="241" spans="1:12" ht="14.25" customHeight="1">
      <c r="A241" s="883">
        <v>231</v>
      </c>
      <c r="B241" s="884" t="s">
        <v>944</v>
      </c>
      <c r="C241" s="885" t="s">
        <v>1327</v>
      </c>
      <c r="D241" s="886" t="s">
        <v>954</v>
      </c>
      <c r="E241" s="886" t="s">
        <v>955</v>
      </c>
      <c r="F241" s="886" t="s">
        <v>1045</v>
      </c>
      <c r="G241" s="886" t="s">
        <v>940</v>
      </c>
      <c r="H241" s="887" t="s">
        <v>934</v>
      </c>
      <c r="I241" s="888">
        <v>7.1818181818181817</v>
      </c>
      <c r="J241" s="889" t="s">
        <v>935</v>
      </c>
      <c r="K241" s="890">
        <f>+I241*VLOOKUP(J241,'Factores Emisión EDGE'!$K$228:$L$230,2,FALSE)/1000</f>
        <v>2.1588545454545452E-3</v>
      </c>
      <c r="L241" s="900">
        <f t="shared" si="0"/>
        <v>3.9520230463636365E-4</v>
      </c>
    </row>
  </sheetData>
  <mergeCells count="38">
    <mergeCell ref="S46:AH46"/>
    <mergeCell ref="S41:AH41"/>
    <mergeCell ref="S42:AH42"/>
    <mergeCell ref="S43:AH43"/>
    <mergeCell ref="S44:AH44"/>
    <mergeCell ref="S45:AH45"/>
    <mergeCell ref="P132:S132"/>
    <mergeCell ref="W9:W10"/>
    <mergeCell ref="Z9:Z10"/>
    <mergeCell ref="B3:I4"/>
    <mergeCell ref="N3:O3"/>
    <mergeCell ref="N8:S8"/>
    <mergeCell ref="U8:Z8"/>
    <mergeCell ref="B9:H9"/>
    <mergeCell ref="N9:N10"/>
    <mergeCell ref="O9:O10"/>
    <mergeCell ref="P9:P10"/>
    <mergeCell ref="S9:S10"/>
    <mergeCell ref="N20:Q20"/>
    <mergeCell ref="S20:V20"/>
    <mergeCell ref="N21:N22"/>
    <mergeCell ref="S21:S24"/>
    <mergeCell ref="U9:U10"/>
    <mergeCell ref="V9:V10"/>
    <mergeCell ref="Q114:Q122"/>
    <mergeCell ref="S123:U123"/>
    <mergeCell ref="N125:P125"/>
    <mergeCell ref="N24:N25"/>
    <mergeCell ref="S25:S26"/>
    <mergeCell ref="N27:R27"/>
    <mergeCell ref="N35:AH35"/>
    <mergeCell ref="S36:AH36"/>
    <mergeCell ref="S37:AH37"/>
    <mergeCell ref="S38:AH38"/>
    <mergeCell ref="S39:AH39"/>
    <mergeCell ref="S47:AH47"/>
    <mergeCell ref="S48:AH48"/>
    <mergeCell ref="S40:AH40"/>
  </mergeCells>
  <hyperlinks>
    <hyperlink ref="AB28" r:id="rId1" xr:uid="{00000000-0004-0000-0C00-000000000000}"/>
    <hyperlink ref="P132" r:id="rId2" xr:uid="{00000000-0004-0000-0C00-000001000000}"/>
  </hyperlinks>
  <pageMargins left="0.7" right="0.7" top="0.75" bottom="0.75" header="0" footer="0"/>
  <pageSetup orientation="landscape"/>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FF"/>
  </sheetPr>
  <dimension ref="A1:N174"/>
  <sheetViews>
    <sheetView showGridLines="0" workbookViewId="0"/>
  </sheetViews>
  <sheetFormatPr baseColWidth="10" defaultColWidth="12.6640625" defaultRowHeight="15" customHeight="1"/>
  <cols>
    <col min="1" max="1" width="2.44140625" customWidth="1"/>
    <col min="2" max="2" width="33.33203125" customWidth="1"/>
    <col min="3" max="3" width="19.88671875" customWidth="1"/>
    <col min="4" max="4" width="21.21875" customWidth="1"/>
    <col min="5" max="5" width="22.21875" customWidth="1"/>
    <col min="6" max="6" width="23.33203125" customWidth="1"/>
    <col min="7" max="8" width="24" customWidth="1"/>
    <col min="9" max="9" width="23.88671875" customWidth="1"/>
    <col min="10" max="11" width="15.33203125" customWidth="1"/>
    <col min="12" max="12" width="21.6640625" customWidth="1"/>
    <col min="13" max="14" width="34.109375" customWidth="1"/>
  </cols>
  <sheetData>
    <row r="1" spans="1:12" ht="14.25" customHeight="1">
      <c r="A1" s="534" t="s">
        <v>1328</v>
      </c>
      <c r="B1" s="429"/>
      <c r="C1" s="429"/>
      <c r="D1" s="430"/>
      <c r="E1" s="429"/>
      <c r="F1" s="429"/>
      <c r="G1" s="429"/>
      <c r="H1" s="429"/>
      <c r="I1" s="429"/>
      <c r="J1" s="429"/>
      <c r="K1" s="429"/>
      <c r="L1" s="652"/>
    </row>
    <row r="2" spans="1:12" ht="14.25" customHeight="1">
      <c r="A2" s="431"/>
      <c r="B2" s="431"/>
      <c r="C2" s="431"/>
      <c r="D2" s="432"/>
      <c r="E2" s="431"/>
      <c r="F2" s="431"/>
      <c r="G2" s="431"/>
      <c r="H2" s="431"/>
      <c r="I2" s="431"/>
      <c r="J2" s="431"/>
      <c r="K2" s="431"/>
      <c r="L2" s="654"/>
    </row>
    <row r="3" spans="1:12" ht="14.25" customHeight="1">
      <c r="A3" s="431"/>
      <c r="B3" s="1450" t="s">
        <v>1329</v>
      </c>
      <c r="C3" s="1451"/>
      <c r="D3" s="1451"/>
      <c r="E3" s="1451"/>
      <c r="F3" s="1451"/>
      <c r="G3" s="1451"/>
      <c r="H3" s="1451"/>
      <c r="I3" s="1451"/>
      <c r="J3" s="1451"/>
      <c r="K3" s="1452"/>
      <c r="L3" s="976"/>
    </row>
    <row r="4" spans="1:12" ht="18.75" customHeight="1">
      <c r="A4" s="431"/>
      <c r="B4" s="1453"/>
      <c r="C4" s="1454"/>
      <c r="D4" s="1454"/>
      <c r="E4" s="1454"/>
      <c r="F4" s="1454"/>
      <c r="G4" s="1454"/>
      <c r="H4" s="1454"/>
      <c r="I4" s="1454"/>
      <c r="J4" s="1454"/>
      <c r="K4" s="1455"/>
      <c r="L4" s="976"/>
    </row>
    <row r="5" spans="1:12" ht="18.75" customHeight="1">
      <c r="A5" s="431"/>
      <c r="B5" s="435"/>
      <c r="C5" s="435"/>
      <c r="D5" s="435"/>
      <c r="E5" s="431"/>
      <c r="F5" s="431"/>
      <c r="G5" s="431"/>
      <c r="H5" s="431"/>
      <c r="I5" s="431"/>
      <c r="J5" s="431"/>
      <c r="K5" s="431"/>
      <c r="L5" s="654"/>
    </row>
    <row r="6" spans="1:12" ht="18.75" customHeight="1">
      <c r="A6" s="431"/>
      <c r="B6" s="438" t="s">
        <v>426</v>
      </c>
      <c r="C6" s="535" t="s">
        <v>582</v>
      </c>
      <c r="D6" s="440"/>
      <c r="E6" s="440"/>
      <c r="F6" s="440"/>
      <c r="G6" s="536"/>
      <c r="H6" s="536"/>
      <c r="I6" s="536"/>
      <c r="J6" s="536"/>
      <c r="K6" s="536"/>
      <c r="L6" s="977"/>
    </row>
    <row r="7" spans="1:12" ht="14.25" customHeight="1">
      <c r="A7" s="431"/>
      <c r="B7" s="444"/>
      <c r="C7" s="444"/>
      <c r="D7" s="492"/>
      <c r="E7" s="444"/>
      <c r="F7" s="444"/>
      <c r="G7" s="444"/>
      <c r="H7" s="444"/>
      <c r="I7" s="444"/>
      <c r="J7" s="444"/>
      <c r="K7" s="444"/>
      <c r="L7" s="654"/>
    </row>
    <row r="8" spans="1:12" ht="14.25" customHeight="1">
      <c r="A8" s="445"/>
      <c r="B8" s="1520" t="s">
        <v>1330</v>
      </c>
      <c r="C8" s="1434"/>
      <c r="D8" s="1434"/>
      <c r="E8" s="1434"/>
      <c r="F8" s="1434"/>
      <c r="G8" s="1434"/>
      <c r="H8" s="1435"/>
      <c r="I8" s="978" t="s">
        <v>385</v>
      </c>
      <c r="J8" s="978" t="s">
        <v>1331</v>
      </c>
      <c r="K8" s="978" t="s">
        <v>96</v>
      </c>
      <c r="L8" s="978" t="s">
        <v>39</v>
      </c>
    </row>
    <row r="9" spans="1:12" ht="14.25" customHeight="1">
      <c r="A9" s="445"/>
      <c r="B9" s="979" t="s">
        <v>1332</v>
      </c>
      <c r="C9" s="979" t="s">
        <v>1333</v>
      </c>
      <c r="D9" s="979" t="s">
        <v>1334</v>
      </c>
      <c r="E9" s="979" t="s">
        <v>1335</v>
      </c>
      <c r="F9" s="979" t="s">
        <v>1336</v>
      </c>
      <c r="G9" s="980" t="s">
        <v>1337</v>
      </c>
      <c r="H9" s="980" t="s">
        <v>1338</v>
      </c>
      <c r="I9" s="981" t="s">
        <v>1339</v>
      </c>
      <c r="J9" s="981" t="s">
        <v>437</v>
      </c>
      <c r="K9" s="981" t="s">
        <v>437</v>
      </c>
      <c r="L9" s="981" t="s">
        <v>437</v>
      </c>
    </row>
    <row r="10" spans="1:12" ht="14.25" customHeight="1">
      <c r="A10" s="445"/>
      <c r="B10" s="982" t="s">
        <v>1340</v>
      </c>
      <c r="C10" s="983" t="s">
        <v>1341</v>
      </c>
      <c r="D10" s="984" t="s">
        <v>1342</v>
      </c>
      <c r="E10" s="984" t="s">
        <v>1343</v>
      </c>
      <c r="F10" s="985" t="s">
        <v>1344</v>
      </c>
      <c r="G10" s="986">
        <v>1064326</v>
      </c>
      <c r="H10" s="987">
        <v>227</v>
      </c>
      <c r="I10" s="987">
        <v>427031797</v>
      </c>
      <c r="J10" s="988">
        <f>+H10*(1.6%*(85%*'Factores Emisión EDGE'!L211+15%*'Factores Emisión EDGE'!L210)+((100%-1.6%)*'Factores Emisión EDGE'!L211))</f>
        <v>7.8217050222768014</v>
      </c>
      <c r="K10" s="988">
        <f>+((H10*5%*'Factores Emisión EDGE'!L157)+('8. Insumos y Empaque'!H10*95%*'Factores Emisión EDGE'!L130))</f>
        <v>400.85865191499994</v>
      </c>
      <c r="L10" s="989">
        <f t="shared" ref="L10:L28" si="0">K10+J10</f>
        <v>408.68035693727671</v>
      </c>
    </row>
    <row r="11" spans="1:12" ht="14.25" customHeight="1">
      <c r="A11" s="445"/>
      <c r="B11" s="990" t="s">
        <v>1340</v>
      </c>
      <c r="C11" s="896" t="s">
        <v>1341</v>
      </c>
      <c r="D11" s="991" t="s">
        <v>1342</v>
      </c>
      <c r="E11" s="992" t="s">
        <v>1345</v>
      </c>
      <c r="F11" s="992" t="s">
        <v>1346</v>
      </c>
      <c r="G11" s="993">
        <v>860900</v>
      </c>
      <c r="H11" s="994">
        <v>29</v>
      </c>
      <c r="I11" s="994">
        <v>86258000</v>
      </c>
      <c r="J11" s="995">
        <f>+H11*VLOOKUP(F11,'Factores Emisión EDGE'!$K$204:$L$218,2,FALSE)</f>
        <v>71.446421299999997</v>
      </c>
      <c r="K11" s="995">
        <f>+H11*'Factores Emisión EDGE'!$L$129</f>
        <v>61.854465400000002</v>
      </c>
      <c r="L11" s="996">
        <f t="shared" si="0"/>
        <v>133.30088670000001</v>
      </c>
    </row>
    <row r="12" spans="1:12" ht="14.25" customHeight="1">
      <c r="A12" s="445"/>
      <c r="B12" s="990" t="s">
        <v>1340</v>
      </c>
      <c r="C12" s="896" t="s">
        <v>1347</v>
      </c>
      <c r="D12" s="991" t="s">
        <v>1342</v>
      </c>
      <c r="E12" s="992" t="s">
        <v>1348</v>
      </c>
      <c r="F12" s="992" t="s">
        <v>1349</v>
      </c>
      <c r="G12" s="993">
        <v>20639</v>
      </c>
      <c r="H12" s="994">
        <v>21</v>
      </c>
      <c r="I12" s="994">
        <v>52206036</v>
      </c>
      <c r="J12" s="995">
        <f>+H12*VLOOKUP(F12,'Factores Emisión EDGE'!$K$204:$L$218,2,FALSE)</f>
        <v>61.463421600000004</v>
      </c>
      <c r="K12" s="995">
        <f>+H12*'Factores Emisión EDGE'!$L$134</f>
        <v>42.345443699999997</v>
      </c>
      <c r="L12" s="996">
        <f t="shared" si="0"/>
        <v>103.80886530000001</v>
      </c>
    </row>
    <row r="13" spans="1:12" ht="14.25" customHeight="1">
      <c r="A13" s="445"/>
      <c r="B13" s="990" t="s">
        <v>1340</v>
      </c>
      <c r="C13" s="896" t="s">
        <v>1347</v>
      </c>
      <c r="D13" s="991" t="s">
        <v>1342</v>
      </c>
      <c r="E13" s="991" t="s">
        <v>1350</v>
      </c>
      <c r="F13" s="992" t="s">
        <v>1349</v>
      </c>
      <c r="G13" s="993">
        <v>188057</v>
      </c>
      <c r="H13" s="994">
        <v>16</v>
      </c>
      <c r="I13" s="994">
        <v>76453893</v>
      </c>
      <c r="J13" s="995">
        <f>+H13*VLOOKUP(F13,'Factores Emisión EDGE'!$K$204:$L$218,2,FALSE)</f>
        <v>46.8292736</v>
      </c>
      <c r="K13" s="995">
        <f>+H13*'Factores Emisión EDGE'!$L$134</f>
        <v>32.263195199999998</v>
      </c>
      <c r="L13" s="996">
        <f t="shared" si="0"/>
        <v>79.092468800000006</v>
      </c>
    </row>
    <row r="14" spans="1:12" ht="14.25" customHeight="1">
      <c r="A14" s="445"/>
      <c r="B14" s="990" t="s">
        <v>1340</v>
      </c>
      <c r="C14" s="896" t="s">
        <v>1347</v>
      </c>
      <c r="D14" s="991" t="s">
        <v>1342</v>
      </c>
      <c r="E14" s="992" t="s">
        <v>1351</v>
      </c>
      <c r="F14" s="992" t="s">
        <v>1349</v>
      </c>
      <c r="G14" s="993">
        <v>1642</v>
      </c>
      <c r="H14" s="994">
        <v>1</v>
      </c>
      <c r="I14" s="994">
        <v>4869040</v>
      </c>
      <c r="J14" s="995">
        <f>+H14*VLOOKUP(F14,'Factores Emisión EDGE'!$K$204:$L$218,2,FALSE)</f>
        <v>2.9268296</v>
      </c>
      <c r="K14" s="995">
        <f>+H14*'Factores Emisión EDGE'!$L$134</f>
        <v>2.0164496999999999</v>
      </c>
      <c r="L14" s="996">
        <f t="shared" si="0"/>
        <v>4.9432793000000004</v>
      </c>
    </row>
    <row r="15" spans="1:12" ht="14.25" customHeight="1">
      <c r="A15" s="445"/>
      <c r="B15" s="997" t="s">
        <v>1340</v>
      </c>
      <c r="C15" s="998" t="s">
        <v>1341</v>
      </c>
      <c r="D15" s="999" t="s">
        <v>1342</v>
      </c>
      <c r="E15" s="1000" t="s">
        <v>1352</v>
      </c>
      <c r="F15" s="1000" t="s">
        <v>1353</v>
      </c>
      <c r="G15" s="1001">
        <v>30</v>
      </c>
      <c r="H15" s="1002">
        <v>2.3400000000000001E-2</v>
      </c>
      <c r="I15" s="1002">
        <v>972540</v>
      </c>
      <c r="J15" s="1003">
        <f>+H15*VLOOKUP(F15,'Factores Emisión EDGE'!$K$204:$L$218,2,FALSE)</f>
        <v>3.5594063793301439E-3</v>
      </c>
      <c r="K15" s="1003">
        <f>+H15*'Factores Emisión EDGE'!$L$135</f>
        <v>1.7517266442000001E-3</v>
      </c>
      <c r="L15" s="1004">
        <f t="shared" si="0"/>
        <v>5.311133023530144E-3</v>
      </c>
    </row>
    <row r="16" spans="1:12" ht="14.25" customHeight="1">
      <c r="A16" s="445"/>
      <c r="B16" s="982" t="s">
        <v>694</v>
      </c>
      <c r="C16" s="983" t="s">
        <v>1347</v>
      </c>
      <c r="D16" s="985" t="s">
        <v>1354</v>
      </c>
      <c r="E16" s="1005" t="s">
        <v>1355</v>
      </c>
      <c r="F16" s="985" t="s">
        <v>1356</v>
      </c>
      <c r="G16" s="986">
        <v>92904</v>
      </c>
      <c r="H16" s="987">
        <v>149.196</v>
      </c>
      <c r="I16" s="987">
        <v>315902280</v>
      </c>
      <c r="J16" s="988">
        <f>+H16*VLOOKUP(F16,'Factores Emisión EDGE'!$K$204:$L$218,2,FALSE)</f>
        <v>375.35469692160001</v>
      </c>
      <c r="K16" s="988">
        <v>0</v>
      </c>
      <c r="L16" s="989">
        <f t="shared" si="0"/>
        <v>375.35469692160001</v>
      </c>
    </row>
    <row r="17" spans="2:12" ht="14.25" customHeight="1">
      <c r="B17" s="990" t="s">
        <v>694</v>
      </c>
      <c r="C17" s="896" t="s">
        <v>1347</v>
      </c>
      <c r="D17" s="992" t="s">
        <v>1354</v>
      </c>
      <c r="E17" s="1006" t="s">
        <v>1357</v>
      </c>
      <c r="F17" s="992" t="s">
        <v>1358</v>
      </c>
      <c r="G17" s="993">
        <v>18080</v>
      </c>
      <c r="H17" s="994">
        <v>66.534400000000005</v>
      </c>
      <c r="I17" s="994">
        <v>147885120</v>
      </c>
      <c r="J17" s="995">
        <f>+H17*VLOOKUP(F17,'Factores Emisión EDGE'!$K$204:$L$218,2,FALSE)</f>
        <v>154.56825362176002</v>
      </c>
      <c r="K17" s="995">
        <v>0</v>
      </c>
      <c r="L17" s="996">
        <f t="shared" si="0"/>
        <v>154.56825362176002</v>
      </c>
    </row>
    <row r="18" spans="2:12" ht="14.25" customHeight="1">
      <c r="B18" s="990" t="s">
        <v>694</v>
      </c>
      <c r="C18" s="896" t="s">
        <v>1347</v>
      </c>
      <c r="D18" s="992" t="s">
        <v>1354</v>
      </c>
      <c r="E18" s="1006" t="s">
        <v>1359</v>
      </c>
      <c r="F18" s="992" t="s">
        <v>1356</v>
      </c>
      <c r="G18" s="993">
        <v>940245</v>
      </c>
      <c r="H18" s="994">
        <v>39.260842999999994</v>
      </c>
      <c r="I18" s="994">
        <v>58093800</v>
      </c>
      <c r="J18" s="995">
        <f>+H18*VLOOKUP(F18,'Factores Emisión EDGE'!$K$204:$L$218,2,FALSE)</f>
        <v>98.774376157212785</v>
      </c>
      <c r="K18" s="995">
        <v>0</v>
      </c>
      <c r="L18" s="996">
        <f t="shared" si="0"/>
        <v>98.774376157212785</v>
      </c>
    </row>
    <row r="19" spans="2:12" ht="14.25" customHeight="1">
      <c r="B19" s="990" t="s">
        <v>694</v>
      </c>
      <c r="C19" s="896" t="s">
        <v>1347</v>
      </c>
      <c r="D19" s="992" t="s">
        <v>1354</v>
      </c>
      <c r="E19" s="1006" t="s">
        <v>1360</v>
      </c>
      <c r="F19" s="992" t="s">
        <v>1361</v>
      </c>
      <c r="G19" s="993">
        <v>20354</v>
      </c>
      <c r="H19" s="994">
        <v>508.84999999999991</v>
      </c>
      <c r="I19" s="994">
        <v>89807310</v>
      </c>
      <c r="J19" s="995">
        <f>+H19*VLOOKUP(F19,'Factores Emisión EDGE'!$K$204:$L$218,2,FALSE)</f>
        <v>77.401877612057405</v>
      </c>
      <c r="K19" s="995">
        <v>0</v>
      </c>
      <c r="L19" s="996">
        <f t="shared" si="0"/>
        <v>77.401877612057405</v>
      </c>
    </row>
    <row r="20" spans="2:12" ht="14.25" customHeight="1">
      <c r="B20" s="990" t="s">
        <v>694</v>
      </c>
      <c r="C20" s="896" t="s">
        <v>1347</v>
      </c>
      <c r="D20" s="992" t="s">
        <v>1354</v>
      </c>
      <c r="E20" s="1006" t="s">
        <v>1362</v>
      </c>
      <c r="F20" s="992" t="s">
        <v>1346</v>
      </c>
      <c r="G20" s="993">
        <v>69780</v>
      </c>
      <c r="H20" s="994">
        <v>21.631800000000002</v>
      </c>
      <c r="I20" s="994">
        <v>75705180</v>
      </c>
      <c r="J20" s="995">
        <f>+H20*VLOOKUP(F20,'Factores Emisión EDGE'!$K$204:$L$218,2,FALSE)</f>
        <v>53.293610216460003</v>
      </c>
      <c r="K20" s="995">
        <v>0</v>
      </c>
      <c r="L20" s="996">
        <f t="shared" si="0"/>
        <v>53.293610216460003</v>
      </c>
    </row>
    <row r="21" spans="2:12" ht="14.25" customHeight="1">
      <c r="B21" s="990" t="s">
        <v>694</v>
      </c>
      <c r="C21" s="896" t="s">
        <v>1347</v>
      </c>
      <c r="D21" s="992" t="s">
        <v>1354</v>
      </c>
      <c r="E21" s="896" t="s">
        <v>1363</v>
      </c>
      <c r="F21" s="992" t="s">
        <v>1364</v>
      </c>
      <c r="G21" s="993">
        <v>2345000</v>
      </c>
      <c r="H21" s="994">
        <v>6.2142499999999998</v>
      </c>
      <c r="I21" s="994">
        <v>26733000</v>
      </c>
      <c r="J21" s="995">
        <f>+H21*VLOOKUP(F21,'Factores Emisión EDGE'!$K$204:$L$218,2,FALSE)</f>
        <v>15.534274767759998</v>
      </c>
      <c r="K21" s="995">
        <v>0</v>
      </c>
      <c r="L21" s="996">
        <f t="shared" si="0"/>
        <v>15.534274767759998</v>
      </c>
    </row>
    <row r="22" spans="2:12" ht="14.25" customHeight="1">
      <c r="B22" s="990" t="s">
        <v>694</v>
      </c>
      <c r="C22" s="896" t="s">
        <v>1347</v>
      </c>
      <c r="D22" s="992" t="s">
        <v>1354</v>
      </c>
      <c r="E22" s="1006" t="s">
        <v>1365</v>
      </c>
      <c r="F22" s="992" t="s">
        <v>1364</v>
      </c>
      <c r="G22" s="993">
        <v>878000</v>
      </c>
      <c r="H22" s="994">
        <v>4.3899999999999988</v>
      </c>
      <c r="I22" s="994">
        <v>43248000</v>
      </c>
      <c r="J22" s="995">
        <f>+H22*VLOOKUP(F22,'Factores Emisión EDGE'!$K$204:$L$218,2,FALSE)</f>
        <v>10.974046140799995</v>
      </c>
      <c r="K22" s="995">
        <v>0</v>
      </c>
      <c r="L22" s="996">
        <f t="shared" si="0"/>
        <v>10.974046140799995</v>
      </c>
    </row>
    <row r="23" spans="2:12" ht="14.25" customHeight="1">
      <c r="B23" s="990" t="s">
        <v>694</v>
      </c>
      <c r="C23" s="896" t="s">
        <v>1347</v>
      </c>
      <c r="D23" s="992" t="s">
        <v>1354</v>
      </c>
      <c r="E23" s="1006" t="s">
        <v>1350</v>
      </c>
      <c r="F23" s="992" t="s">
        <v>1349</v>
      </c>
      <c r="G23" s="993">
        <v>5976</v>
      </c>
      <c r="H23" s="994">
        <v>0.47808</v>
      </c>
      <c r="I23" s="994">
        <v>3083616</v>
      </c>
      <c r="J23" s="995">
        <f>+H23*VLOOKUP(F23,'Factores Emisión EDGE'!$K$204:$L$218,2,FALSE)</f>
        <v>1.3992586951679999</v>
      </c>
      <c r="K23" s="995">
        <v>0</v>
      </c>
      <c r="L23" s="996">
        <f t="shared" si="0"/>
        <v>1.3992586951679999</v>
      </c>
    </row>
    <row r="24" spans="2:12" ht="14.25" customHeight="1">
      <c r="B24" s="990" t="s">
        <v>694</v>
      </c>
      <c r="C24" s="896" t="s">
        <v>1347</v>
      </c>
      <c r="D24" s="992" t="s">
        <v>1354</v>
      </c>
      <c r="E24" s="1006" t="s">
        <v>1343</v>
      </c>
      <c r="F24" s="992" t="s">
        <v>1344</v>
      </c>
      <c r="G24" s="993">
        <v>4100</v>
      </c>
      <c r="H24" s="994">
        <v>2.0499999999999998</v>
      </c>
      <c r="I24" s="994">
        <v>3356500</v>
      </c>
      <c r="J24" s="995">
        <f>+H24*VLOOKUP(F24,'Factores Emisión EDGE'!$K$204:$L$218,2,FALSE)</f>
        <v>1.2793523764999999</v>
      </c>
      <c r="K24" s="995">
        <v>0</v>
      </c>
      <c r="L24" s="996">
        <f t="shared" si="0"/>
        <v>1.2793523764999999</v>
      </c>
    </row>
    <row r="25" spans="2:12" ht="14.25" customHeight="1">
      <c r="B25" s="990" t="s">
        <v>694</v>
      </c>
      <c r="C25" s="896" t="s">
        <v>1347</v>
      </c>
      <c r="D25" s="992" t="s">
        <v>1354</v>
      </c>
      <c r="E25" s="1007" t="s">
        <v>1366</v>
      </c>
      <c r="F25" s="992" t="s">
        <v>1346</v>
      </c>
      <c r="G25" s="993">
        <v>4000</v>
      </c>
      <c r="H25" s="994">
        <v>0.22</v>
      </c>
      <c r="I25" s="994">
        <v>2120000</v>
      </c>
      <c r="J25" s="995">
        <f>+H25*VLOOKUP(F25,'Factores Emisión EDGE'!$K$204:$L$218,2,FALSE)</f>
        <v>0.54200733400000001</v>
      </c>
      <c r="K25" s="995">
        <v>0</v>
      </c>
      <c r="L25" s="996">
        <f t="shared" si="0"/>
        <v>0.54200733400000001</v>
      </c>
    </row>
    <row r="26" spans="2:12" ht="14.25" customHeight="1">
      <c r="B26" s="997" t="s">
        <v>694</v>
      </c>
      <c r="C26" s="998" t="s">
        <v>1347</v>
      </c>
      <c r="D26" s="1000" t="s">
        <v>1354</v>
      </c>
      <c r="E26" s="1008" t="s">
        <v>1367</v>
      </c>
      <c r="F26" s="1000" t="s">
        <v>1346</v>
      </c>
      <c r="G26" s="1001">
        <v>200</v>
      </c>
      <c r="H26" s="1002">
        <v>5.1500000000000004E-2</v>
      </c>
      <c r="I26" s="1002">
        <v>685000</v>
      </c>
      <c r="J26" s="1003">
        <f>+H26*VLOOKUP(F26,'Factores Emisión EDGE'!$K$204:$L$218,2,FALSE)</f>
        <v>0.12687898955000002</v>
      </c>
      <c r="K26" s="1003">
        <v>0</v>
      </c>
      <c r="L26" s="1004">
        <f t="shared" si="0"/>
        <v>0.12687898955000002</v>
      </c>
    </row>
    <row r="27" spans="2:12" ht="14.25" customHeight="1">
      <c r="B27" s="1009"/>
      <c r="C27" s="1010"/>
      <c r="D27" s="1010"/>
      <c r="E27" s="1010"/>
      <c r="F27" s="1010"/>
      <c r="G27" s="1011" t="s">
        <v>87</v>
      </c>
      <c r="H27" s="1012">
        <f t="shared" ref="H27:K27" si="1">+SUM(H10:H26)</f>
        <v>1092.9002730000002</v>
      </c>
      <c r="I27" s="1012">
        <f t="shared" si="1"/>
        <v>1414411112</v>
      </c>
      <c r="J27" s="1012">
        <f t="shared" si="1"/>
        <v>979.73984336152455</v>
      </c>
      <c r="K27" s="1012">
        <f t="shared" si="1"/>
        <v>539.33995764164411</v>
      </c>
      <c r="L27" s="1013">
        <f t="shared" si="0"/>
        <v>1519.0798010031685</v>
      </c>
    </row>
    <row r="28" spans="2:12" ht="14.25" customHeight="1">
      <c r="B28" s="1014"/>
      <c r="C28" s="1015"/>
      <c r="D28" s="1015"/>
      <c r="E28" s="1015"/>
      <c r="F28" s="1015"/>
      <c r="G28" s="1016" t="s">
        <v>1340</v>
      </c>
      <c r="H28" s="1017">
        <f t="shared" ref="H28:I28" si="2">SUM(H10:H15)</f>
        <v>294.02339999999998</v>
      </c>
      <c r="I28" s="1017">
        <f t="shared" si="2"/>
        <v>647791306</v>
      </c>
      <c r="J28" s="1017">
        <f>+SUM(J10:J15)</f>
        <v>190.49121052865613</v>
      </c>
      <c r="K28" s="1017">
        <v>539.38539083797991</v>
      </c>
      <c r="L28" s="1018">
        <f t="shared" si="0"/>
        <v>729.87660136663601</v>
      </c>
    </row>
    <row r="29" spans="2:12" ht="14.25" customHeight="1">
      <c r="B29" s="1019"/>
      <c r="C29" s="1020"/>
      <c r="D29" s="1020"/>
      <c r="E29" s="1020"/>
      <c r="F29" s="1020"/>
      <c r="G29" s="1021" t="s">
        <v>1368</v>
      </c>
      <c r="H29" s="1022">
        <f t="shared" ref="H29:I29" si="3">SUM(H16:H26)</f>
        <v>798.87687299999982</v>
      </c>
      <c r="I29" s="1022">
        <f t="shared" si="3"/>
        <v>766619806</v>
      </c>
      <c r="J29" s="1022">
        <f>+SUM(J16:J26)</f>
        <v>789.24863283286834</v>
      </c>
      <c r="K29" s="1022">
        <v>0</v>
      </c>
      <c r="L29" s="1023">
        <f>J29</f>
        <v>789.24863283286834</v>
      </c>
    </row>
    <row r="30" spans="2:12" ht="14.25" customHeight="1">
      <c r="B30" s="532"/>
      <c r="C30" s="532"/>
      <c r="D30" s="532"/>
      <c r="E30" s="87"/>
      <c r="F30" s="87"/>
      <c r="G30" s="87"/>
      <c r="H30" s="444"/>
      <c r="I30" s="87"/>
      <c r="J30" s="87"/>
      <c r="K30" s="87"/>
      <c r="L30" s="87"/>
    </row>
    <row r="31" spans="2:12" ht="14.25" customHeight="1">
      <c r="B31" s="1544" t="s">
        <v>1369</v>
      </c>
      <c r="C31" s="1434"/>
      <c r="D31" s="1434"/>
      <c r="E31" s="1434"/>
      <c r="F31" s="1434"/>
      <c r="G31" s="1434"/>
      <c r="H31" s="1434"/>
      <c r="I31" s="1434"/>
      <c r="J31" s="1434"/>
      <c r="K31" s="1434"/>
      <c r="L31" s="1435"/>
    </row>
    <row r="32" spans="2:12" ht="14.25" customHeight="1">
      <c r="B32" s="1024" t="s">
        <v>1370</v>
      </c>
      <c r="C32" s="1024" t="s">
        <v>1371</v>
      </c>
      <c r="D32" s="1024" t="s">
        <v>1372</v>
      </c>
      <c r="E32" s="1024" t="s">
        <v>1373</v>
      </c>
      <c r="F32" s="1024" t="s">
        <v>1374</v>
      </c>
      <c r="G32" s="1024" t="s">
        <v>1375</v>
      </c>
      <c r="H32" s="1024" t="s">
        <v>1376</v>
      </c>
      <c r="I32" s="1024" t="s">
        <v>1377</v>
      </c>
      <c r="J32" s="1024" t="s">
        <v>1378</v>
      </c>
      <c r="K32" s="1024" t="s">
        <v>1379</v>
      </c>
      <c r="L32" s="1024" t="s">
        <v>39</v>
      </c>
    </row>
    <row r="33" spans="2:12" ht="14.25" customHeight="1">
      <c r="B33" s="896" t="s">
        <v>1380</v>
      </c>
      <c r="C33" s="1025">
        <v>50.662559999999999</v>
      </c>
      <c r="D33" s="1026">
        <v>0.22362722510204799</v>
      </c>
      <c r="E33" s="1027">
        <v>1</v>
      </c>
      <c r="F33" s="1027">
        <v>0</v>
      </c>
      <c r="G33" s="1028">
        <f>'Factores Emisión EDGE'!$L$211</f>
        <v>3.3038364000000001E-2</v>
      </c>
      <c r="H33" s="1028">
        <f>'Factores Emisión EDGE'!$L$210</f>
        <v>0.62407433000000001</v>
      </c>
      <c r="I33" s="1028">
        <f>95%*'Factores Emisión EDGE'!$L$130</f>
        <v>1.7658971449999998</v>
      </c>
      <c r="J33" s="1028">
        <f t="shared" ref="J33:J39" si="4">((C33*E33*G33)+(C33*F33*H33))</f>
        <v>1.67380809845184</v>
      </c>
      <c r="K33" s="1029">
        <f t="shared" ref="K33:K39" si="5">C33*I33</f>
        <v>89.464870062391185</v>
      </c>
      <c r="L33" s="1029">
        <f t="shared" ref="L33:L39" si="6">K33+J33</f>
        <v>91.138678160843028</v>
      </c>
    </row>
    <row r="34" spans="2:12" ht="14.25" customHeight="1">
      <c r="B34" s="896" t="s">
        <v>1381</v>
      </c>
      <c r="C34" s="1025">
        <v>49</v>
      </c>
      <c r="D34" s="1026">
        <v>0.21381672745994701</v>
      </c>
      <c r="E34" s="1027">
        <v>1</v>
      </c>
      <c r="F34" s="1027">
        <v>0</v>
      </c>
      <c r="G34" s="1028">
        <f>'Factores Emisión EDGE'!$L$211</f>
        <v>3.3038364000000001E-2</v>
      </c>
      <c r="H34" s="1028">
        <f>'Factores Emisión EDGE'!$L$210</f>
        <v>0.62407433000000001</v>
      </c>
      <c r="I34" s="1028">
        <f>95%*'Factores Emisión EDGE'!$L$130</f>
        <v>1.7658971449999998</v>
      </c>
      <c r="J34" s="1028">
        <f t="shared" si="4"/>
        <v>1.6188798360000001</v>
      </c>
      <c r="K34" s="1029">
        <f t="shared" si="5"/>
        <v>86.528960104999996</v>
      </c>
      <c r="L34" s="1029">
        <f t="shared" si="6"/>
        <v>88.147839941000001</v>
      </c>
    </row>
    <row r="35" spans="2:12" ht="14.25" customHeight="1">
      <c r="B35" s="896" t="s">
        <v>1382</v>
      </c>
      <c r="C35" s="1025">
        <v>41.32</v>
      </c>
      <c r="D35" s="1026">
        <v>0.18238867007937701</v>
      </c>
      <c r="E35" s="1027">
        <v>1</v>
      </c>
      <c r="F35" s="1027">
        <v>0</v>
      </c>
      <c r="G35" s="1028">
        <f>'Factores Emisión EDGE'!$L$211</f>
        <v>3.3038364000000001E-2</v>
      </c>
      <c r="H35" s="1028">
        <f>'Factores Emisión EDGE'!$L$210</f>
        <v>0.62407433000000001</v>
      </c>
      <c r="I35" s="1028">
        <f>95%*'Factores Emisión EDGE'!$L$130</f>
        <v>1.7658971449999998</v>
      </c>
      <c r="J35" s="1028">
        <f t="shared" si="4"/>
        <v>1.36514520048</v>
      </c>
      <c r="K35" s="1029">
        <f t="shared" si="5"/>
        <v>72.966870031399992</v>
      </c>
      <c r="L35" s="1029">
        <f t="shared" si="6"/>
        <v>74.332015231879993</v>
      </c>
    </row>
    <row r="36" spans="2:12" ht="14.25" customHeight="1">
      <c r="B36" s="896" t="s">
        <v>1383</v>
      </c>
      <c r="C36" s="1025">
        <v>31.73</v>
      </c>
      <c r="D36" s="1026">
        <v>0.14005790178167099</v>
      </c>
      <c r="E36" s="1027">
        <v>1</v>
      </c>
      <c r="F36" s="1027">
        <v>0</v>
      </c>
      <c r="G36" s="1028">
        <f>'Factores Emisión EDGE'!$L$211</f>
        <v>3.3038364000000001E-2</v>
      </c>
      <c r="H36" s="1028">
        <f>'Factores Emisión EDGE'!$L$210</f>
        <v>0.62407433000000001</v>
      </c>
      <c r="I36" s="1028">
        <f>95%*'Factores Emisión EDGE'!$L$130</f>
        <v>1.7658971449999998</v>
      </c>
      <c r="J36" s="1028">
        <f t="shared" si="4"/>
        <v>1.0483072897200001</v>
      </c>
      <c r="K36" s="1029">
        <f t="shared" si="5"/>
        <v>56.031916410849995</v>
      </c>
      <c r="L36" s="1029">
        <f t="shared" si="6"/>
        <v>57.080223700569995</v>
      </c>
    </row>
    <row r="37" spans="2:12" ht="14.25" customHeight="1">
      <c r="B37" s="896" t="s">
        <v>1384</v>
      </c>
      <c r="C37" s="1025">
        <v>29.195</v>
      </c>
      <c r="D37" s="1026">
        <v>0.128868277419347</v>
      </c>
      <c r="E37" s="1027">
        <v>1</v>
      </c>
      <c r="F37" s="1027">
        <v>0</v>
      </c>
      <c r="G37" s="1028">
        <f>'Factores Emisión EDGE'!$L$211</f>
        <v>3.3038364000000001E-2</v>
      </c>
      <c r="H37" s="1028">
        <f>'Factores Emisión EDGE'!$L$210</f>
        <v>0.62407433000000001</v>
      </c>
      <c r="I37" s="1028">
        <f>95%*'Factores Emisión EDGE'!$L$130</f>
        <v>1.7658971449999998</v>
      </c>
      <c r="J37" s="1028">
        <f t="shared" si="4"/>
        <v>0.96455503698</v>
      </c>
      <c r="K37" s="1029">
        <f t="shared" si="5"/>
        <v>51.555367148274996</v>
      </c>
      <c r="L37" s="1029">
        <f t="shared" si="6"/>
        <v>52.519922185254998</v>
      </c>
    </row>
    <row r="38" spans="2:12" ht="14.25" customHeight="1">
      <c r="B38" s="896" t="s">
        <v>1385</v>
      </c>
      <c r="C38" s="1025">
        <v>21.568000000000001</v>
      </c>
      <c r="D38" s="1026">
        <v>9.5202295166311804E-2</v>
      </c>
      <c r="E38" s="1027">
        <v>1</v>
      </c>
      <c r="F38" s="1027">
        <v>0</v>
      </c>
      <c r="G38" s="1028">
        <f>'Factores Emisión EDGE'!$L$211</f>
        <v>3.3038364000000001E-2</v>
      </c>
      <c r="H38" s="1028">
        <f>'Factores Emisión EDGE'!$L$210</f>
        <v>0.62407433000000001</v>
      </c>
      <c r="I38" s="1028">
        <f>95%*'Factores Emisión EDGE'!$L$130</f>
        <v>1.7658971449999998</v>
      </c>
      <c r="J38" s="1028">
        <f t="shared" si="4"/>
        <v>0.71257143475200002</v>
      </c>
      <c r="K38" s="1029">
        <f t="shared" si="5"/>
        <v>38.086869623360002</v>
      </c>
      <c r="L38" s="1029">
        <f t="shared" si="6"/>
        <v>38.799441058112002</v>
      </c>
    </row>
    <row r="39" spans="2:12" ht="14.25" customHeight="1">
      <c r="B39" s="896" t="s">
        <v>1386</v>
      </c>
      <c r="C39" s="1025">
        <v>3.6335999999999999</v>
      </c>
      <c r="D39" s="1026">
        <v>1.6038902991297802E-2</v>
      </c>
      <c r="E39" s="1027">
        <v>0.85</v>
      </c>
      <c r="F39" s="1027">
        <v>0.15</v>
      </c>
      <c r="G39" s="1028">
        <f>'Factores Emisión EDGE'!$L$211</f>
        <v>3.3038364000000001E-2</v>
      </c>
      <c r="H39" s="1028">
        <f>'Factores Emisión EDGE'!$L$210</f>
        <v>0.62407433000000001</v>
      </c>
      <c r="I39" s="1028">
        <f>95%*'Factores Emisión EDGE'!$L$130</f>
        <v>1.7658971449999998</v>
      </c>
      <c r="J39" s="1028">
        <f t="shared" si="4"/>
        <v>0.44218644233904003</v>
      </c>
      <c r="K39" s="1029">
        <f t="shared" si="5"/>
        <v>6.416563866071999</v>
      </c>
      <c r="L39" s="1029">
        <f t="shared" si="6"/>
        <v>6.8587503084110395</v>
      </c>
    </row>
    <row r="40" spans="2:12" ht="14.25" customHeight="1">
      <c r="B40" s="1030"/>
      <c r="C40" s="1031">
        <f t="shared" ref="C40:D40" si="7">SUM(C33:C39)</f>
        <v>227.10916</v>
      </c>
      <c r="D40" s="1032">
        <f t="shared" si="7"/>
        <v>0.99999999999999967</v>
      </c>
      <c r="E40" s="1033" t="s">
        <v>325</v>
      </c>
      <c r="F40" s="1033" t="s">
        <v>325</v>
      </c>
      <c r="G40" s="1033" t="s">
        <v>325</v>
      </c>
      <c r="H40" s="1033" t="s">
        <v>325</v>
      </c>
      <c r="I40" s="1034" t="s">
        <v>87</v>
      </c>
      <c r="J40" s="1035">
        <f t="shared" ref="J40:L40" si="8">SUM(J33:J39)</f>
        <v>7.8254533387228804</v>
      </c>
      <c r="K40" s="1035">
        <f t="shared" si="8"/>
        <v>401.05141724734824</v>
      </c>
      <c r="L40" s="1035">
        <f t="shared" si="8"/>
        <v>408.87687058607105</v>
      </c>
    </row>
    <row r="41" spans="2:12" ht="14.25" customHeight="1">
      <c r="B41" s="896" t="s">
        <v>1387</v>
      </c>
      <c r="C41" s="1036">
        <f>1-(C39*0.15/C40)</f>
        <v>0.99760009679926609</v>
      </c>
      <c r="D41" s="464"/>
      <c r="E41" s="444"/>
      <c r="F41" s="444"/>
      <c r="G41" s="444"/>
      <c r="H41" s="444"/>
      <c r="I41" s="444"/>
      <c r="J41" s="444"/>
      <c r="K41" s="444"/>
      <c r="L41" s="444"/>
    </row>
    <row r="42" spans="2:12" ht="14.25" customHeight="1">
      <c r="B42" s="896" t="s">
        <v>1388</v>
      </c>
      <c r="C42" s="1037">
        <f>C39*F39/C40</f>
        <v>2.3999032007339552E-3</v>
      </c>
      <c r="D42" s="464"/>
      <c r="E42" s="444"/>
      <c r="F42" s="444"/>
      <c r="G42" s="444"/>
      <c r="H42" s="462"/>
      <c r="I42" s="1038" t="s">
        <v>1389</v>
      </c>
      <c r="J42" s="1039">
        <f>-(C40*H33)-J40</f>
        <v>-149.55845020258568</v>
      </c>
      <c r="K42" s="1007" t="s">
        <v>551</v>
      </c>
      <c r="L42" s="1007"/>
    </row>
    <row r="43" spans="2:12" ht="14.25" customHeight="1">
      <c r="B43" s="532"/>
      <c r="C43" s="532"/>
      <c r="D43" s="444"/>
      <c r="E43" s="444"/>
      <c r="F43" s="444"/>
      <c r="G43" s="444"/>
      <c r="H43" s="462"/>
      <c r="I43" s="1038" t="s">
        <v>1390</v>
      </c>
      <c r="J43" s="1041">
        <f>J42/(J42+L27)</f>
        <v>-0.10920490587106078</v>
      </c>
      <c r="K43" s="1007"/>
      <c r="L43" s="1007"/>
    </row>
    <row r="44" spans="2:12" ht="14.25" customHeight="1">
      <c r="B44" s="444"/>
      <c r="C44" s="444"/>
      <c r="D44" s="444"/>
      <c r="E44" s="444"/>
      <c r="F44" s="444"/>
      <c r="G44" s="444"/>
      <c r="H44" s="444"/>
      <c r="I44" s="1042"/>
      <c r="J44" s="1042"/>
      <c r="K44" s="1042"/>
      <c r="L44" s="1042"/>
    </row>
    <row r="45" spans="2:12" ht="14.25" customHeight="1">
      <c r="B45" s="1520" t="s">
        <v>1391</v>
      </c>
      <c r="C45" s="1434"/>
      <c r="D45" s="1434"/>
      <c r="E45" s="1434"/>
      <c r="F45" s="1434"/>
      <c r="G45" s="1434"/>
      <c r="H45" s="1435"/>
      <c r="I45" s="978" t="s">
        <v>385</v>
      </c>
      <c r="J45" s="978" t="s">
        <v>1331</v>
      </c>
      <c r="K45" s="978" t="s">
        <v>96</v>
      </c>
      <c r="L45" s="978" t="s">
        <v>39</v>
      </c>
    </row>
    <row r="46" spans="2:12" ht="14.25" customHeight="1">
      <c r="B46" s="979" t="s">
        <v>1332</v>
      </c>
      <c r="C46" s="979" t="s">
        <v>1333</v>
      </c>
      <c r="D46" s="979" t="s">
        <v>1334</v>
      </c>
      <c r="E46" s="979" t="s">
        <v>1335</v>
      </c>
      <c r="F46" s="979" t="s">
        <v>1336</v>
      </c>
      <c r="G46" s="980" t="s">
        <v>1337</v>
      </c>
      <c r="H46" s="980" t="s">
        <v>1338</v>
      </c>
      <c r="I46" s="981" t="s">
        <v>1339</v>
      </c>
      <c r="J46" s="981" t="s">
        <v>437</v>
      </c>
      <c r="K46" s="981" t="s">
        <v>437</v>
      </c>
      <c r="L46" s="981" t="s">
        <v>437</v>
      </c>
    </row>
    <row r="47" spans="2:12" ht="14.25" customHeight="1">
      <c r="B47" s="982" t="s">
        <v>1340</v>
      </c>
      <c r="C47" s="983" t="s">
        <v>1341</v>
      </c>
      <c r="D47" s="984" t="s">
        <v>1342</v>
      </c>
      <c r="E47" s="984" t="s">
        <v>1343</v>
      </c>
      <c r="F47" s="985" t="s">
        <v>1344</v>
      </c>
      <c r="G47" s="1043">
        <v>3503246</v>
      </c>
      <c r="H47" s="1044">
        <v>692.39</v>
      </c>
      <c r="I47" s="1044">
        <v>779938633</v>
      </c>
      <c r="J47" s="1045">
        <f>+H47*(1.6%*(85%*'Factores Emisión EDGE'!L211+15%*'Factores Emisión EDGE'!L210)+((100%-1.6%)*'Factores Emisión EDGE'!L211))</f>
        <v>23.85757859195698</v>
      </c>
      <c r="K47" s="1045">
        <f>+((H47*5%*'Factores Emisión EDGE'!L157)+('8. Insumos y Empaque'!H47*95%*'Factores Emisión EDGE'!L130))</f>
        <v>1222.68952422655</v>
      </c>
      <c r="L47" s="1046">
        <f t="shared" ref="L47:L63" si="9">K47+J47</f>
        <v>1246.547102818507</v>
      </c>
    </row>
    <row r="48" spans="2:12" ht="14.25" customHeight="1">
      <c r="B48" s="990" t="s">
        <v>1340</v>
      </c>
      <c r="C48" s="896" t="s">
        <v>1341</v>
      </c>
      <c r="D48" s="991" t="s">
        <v>1342</v>
      </c>
      <c r="E48" s="992" t="s">
        <v>1345</v>
      </c>
      <c r="F48" s="992" t="s">
        <v>1346</v>
      </c>
      <c r="G48" s="1047">
        <v>2126561</v>
      </c>
      <c r="H48" s="1048">
        <v>78.790000000000006</v>
      </c>
      <c r="I48" s="1048">
        <v>209686797</v>
      </c>
      <c r="J48" s="1049">
        <f>+H48*VLOOKUP(F48,'Factores Emisión EDGE'!$K$204:$L$218,2,FALSE)</f>
        <v>194.11253566300002</v>
      </c>
      <c r="K48" s="1049">
        <f>+((H48*5%*'Factores Emisión EDGE'!L157)+('8. Insumos y Empaque'!H48*95%*'Factores Emisión EDGE'!L129))</f>
        <v>159.6495745663</v>
      </c>
      <c r="L48" s="1050">
        <f t="shared" si="9"/>
        <v>353.76211022929999</v>
      </c>
    </row>
    <row r="49" spans="2:12" ht="14.25" customHeight="1">
      <c r="B49" s="990" t="s">
        <v>1340</v>
      </c>
      <c r="C49" s="896" t="s">
        <v>1347</v>
      </c>
      <c r="D49" s="991" t="s">
        <v>1342</v>
      </c>
      <c r="E49" s="992" t="s">
        <v>1348</v>
      </c>
      <c r="F49" s="992" t="s">
        <v>1349</v>
      </c>
      <c r="G49" s="1047">
        <v>57875</v>
      </c>
      <c r="H49" s="1048">
        <v>47.97</v>
      </c>
      <c r="I49" s="1048">
        <v>102600669</v>
      </c>
      <c r="J49" s="1049">
        <f>+H49*VLOOKUP(F49,'Factores Emisión EDGE'!$K$204:$L$218,2,FALSE)</f>
        <v>140.40001591199999</v>
      </c>
      <c r="K49" s="1049">
        <f>+H49*'Factores Emisión EDGE'!$L$134</f>
        <v>96.729092108999993</v>
      </c>
      <c r="L49" s="1050">
        <f t="shared" si="9"/>
        <v>237.12910802099998</v>
      </c>
    </row>
    <row r="50" spans="2:12" ht="14.25" customHeight="1">
      <c r="B50" s="990" t="s">
        <v>1340</v>
      </c>
      <c r="C50" s="896" t="s">
        <v>1347</v>
      </c>
      <c r="D50" s="991" t="s">
        <v>1342</v>
      </c>
      <c r="E50" s="992" t="s">
        <v>1350</v>
      </c>
      <c r="F50" s="992" t="s">
        <v>1349</v>
      </c>
      <c r="G50" s="1047">
        <v>291713</v>
      </c>
      <c r="H50" s="1048">
        <v>26.06</v>
      </c>
      <c r="I50" s="1048">
        <v>106018404</v>
      </c>
      <c r="J50" s="1049">
        <f>+H50*VLOOKUP(F50,'Factores Emisión EDGE'!$K$204:$L$218,2,FALSE)</f>
        <v>76.273179376000002</v>
      </c>
      <c r="K50" s="1049">
        <f>+H50*'Factores Emisión EDGE'!$L$134</f>
        <v>52.548679181999994</v>
      </c>
      <c r="L50" s="1050">
        <f t="shared" si="9"/>
        <v>128.821858558</v>
      </c>
    </row>
    <row r="51" spans="2:12" ht="14.25" customHeight="1">
      <c r="B51" s="990" t="s">
        <v>1340</v>
      </c>
      <c r="C51" s="896" t="s">
        <v>1347</v>
      </c>
      <c r="D51" s="991" t="s">
        <v>1342</v>
      </c>
      <c r="E51" s="992" t="s">
        <v>1351</v>
      </c>
      <c r="F51" s="992" t="s">
        <v>1349</v>
      </c>
      <c r="G51" s="1047">
        <v>2662</v>
      </c>
      <c r="H51" s="1048">
        <v>1.36</v>
      </c>
      <c r="I51" s="1048">
        <v>4659666</v>
      </c>
      <c r="J51" s="1049">
        <f>+H51*VLOOKUP(F51,'Factores Emisión EDGE'!$K$204:$L$218,2,FALSE)</f>
        <v>3.9804882560000001</v>
      </c>
      <c r="K51" s="1049">
        <f>+H51*'Factores Emisión EDGE'!$L$134</f>
        <v>2.742371592</v>
      </c>
      <c r="L51" s="1050">
        <f t="shared" si="9"/>
        <v>6.7228598480000006</v>
      </c>
    </row>
    <row r="52" spans="2:12" ht="14.25" customHeight="1">
      <c r="B52" s="997" t="s">
        <v>1340</v>
      </c>
      <c r="C52" s="998" t="s">
        <v>1341</v>
      </c>
      <c r="D52" s="999" t="s">
        <v>1342</v>
      </c>
      <c r="E52" s="1000" t="s">
        <v>1352</v>
      </c>
      <c r="F52" s="1000" t="s">
        <v>1353</v>
      </c>
      <c r="G52" s="1051">
        <v>60</v>
      </c>
      <c r="H52" s="1052">
        <v>0.05</v>
      </c>
      <c r="I52" s="1052">
        <v>1920860</v>
      </c>
      <c r="J52" s="1053">
        <f>+H52*VLOOKUP(F52,'Factores Emisión EDGE'!$K$204:$L$218,2,FALSE)</f>
        <v>7.6055691866028716E-3</v>
      </c>
      <c r="K52" s="1053">
        <f>+H52*'Factores Emisión EDGE'!$L$135</f>
        <v>3.7430056500000006E-3</v>
      </c>
      <c r="L52" s="1054">
        <f t="shared" si="9"/>
        <v>1.1348574836602872E-2</v>
      </c>
    </row>
    <row r="53" spans="2:12" ht="14.25" customHeight="1">
      <c r="B53" s="982" t="s">
        <v>694</v>
      </c>
      <c r="C53" s="983" t="s">
        <v>1347</v>
      </c>
      <c r="D53" s="985" t="s">
        <v>1354</v>
      </c>
      <c r="E53" s="985" t="s">
        <v>1355</v>
      </c>
      <c r="F53" s="985" t="s">
        <v>1356</v>
      </c>
      <c r="G53" s="1043">
        <v>182278</v>
      </c>
      <c r="H53" s="1044">
        <v>291.11</v>
      </c>
      <c r="I53" s="1044">
        <v>483030494</v>
      </c>
      <c r="J53" s="1045">
        <f>+H53*VLOOKUP(F53,'Factores Emisión EDGE'!$K$204:$L$218,2,FALSE)</f>
        <v>732.38897705600004</v>
      </c>
      <c r="K53" s="1045">
        <v>0</v>
      </c>
      <c r="L53" s="1046">
        <f t="shared" si="9"/>
        <v>732.38897705600004</v>
      </c>
    </row>
    <row r="54" spans="2:12" ht="14.25" customHeight="1">
      <c r="B54" s="990" t="s">
        <v>694</v>
      </c>
      <c r="C54" s="896" t="s">
        <v>1347</v>
      </c>
      <c r="D54" s="992" t="s">
        <v>1354</v>
      </c>
      <c r="E54" s="992" t="s">
        <v>1357</v>
      </c>
      <c r="F54" s="992" t="s">
        <v>1358</v>
      </c>
      <c r="G54" s="1047">
        <v>76655</v>
      </c>
      <c r="H54" s="1048">
        <v>282.08999999999997</v>
      </c>
      <c r="I54" s="1048">
        <v>502061472</v>
      </c>
      <c r="J54" s="1049">
        <f>+H54*VLOOKUP(F54,'Factores Emisión EDGE'!$K$204:$L$218,2,FALSE)</f>
        <v>655.33255976099997</v>
      </c>
      <c r="K54" s="1049">
        <v>0</v>
      </c>
      <c r="L54" s="1050">
        <f t="shared" si="9"/>
        <v>655.33255976099997</v>
      </c>
    </row>
    <row r="55" spans="2:12" ht="14.25" customHeight="1">
      <c r="B55" s="990" t="s">
        <v>694</v>
      </c>
      <c r="C55" s="896" t="s">
        <v>1347</v>
      </c>
      <c r="D55" s="992" t="s">
        <v>1354</v>
      </c>
      <c r="E55" s="896" t="s">
        <v>1365</v>
      </c>
      <c r="F55" s="992" t="s">
        <v>1364</v>
      </c>
      <c r="G55" s="1047">
        <v>840000</v>
      </c>
      <c r="H55" s="1048">
        <v>227</v>
      </c>
      <c r="I55" s="1048">
        <v>28620000</v>
      </c>
      <c r="J55" s="1049">
        <f>+H55*VLOOKUP(F55,'Factores Emisión EDGE'!$K$204:$L$218,2,FALSE)</f>
        <v>567.45067743999994</v>
      </c>
      <c r="K55" s="1049">
        <v>0</v>
      </c>
      <c r="L55" s="1050">
        <f t="shared" si="9"/>
        <v>567.45067743999994</v>
      </c>
    </row>
    <row r="56" spans="2:12" ht="14.25" customHeight="1">
      <c r="B56" s="990" t="s">
        <v>694</v>
      </c>
      <c r="C56" s="896" t="s">
        <v>1347</v>
      </c>
      <c r="D56" s="992" t="s">
        <v>1354</v>
      </c>
      <c r="E56" s="992" t="s">
        <v>1359</v>
      </c>
      <c r="F56" s="992" t="s">
        <v>1356</v>
      </c>
      <c r="G56" s="1047">
        <v>1383290</v>
      </c>
      <c r="H56" s="1048">
        <v>56.98</v>
      </c>
      <c r="I56" s="1048">
        <v>75251840</v>
      </c>
      <c r="J56" s="1049">
        <f>+H56*VLOOKUP(F56,'Factores Emisión EDGE'!$K$204:$L$218,2,FALSE)</f>
        <v>143.353110208</v>
      </c>
      <c r="K56" s="1049">
        <v>0</v>
      </c>
      <c r="L56" s="1050">
        <f t="shared" si="9"/>
        <v>143.353110208</v>
      </c>
    </row>
    <row r="57" spans="2:12" ht="14.25" customHeight="1">
      <c r="B57" s="990" t="s">
        <v>694</v>
      </c>
      <c r="C57" s="896" t="s">
        <v>1347</v>
      </c>
      <c r="D57" s="992" t="s">
        <v>1354</v>
      </c>
      <c r="E57" s="896" t="s">
        <v>1362</v>
      </c>
      <c r="F57" s="992" t="s">
        <v>1346</v>
      </c>
      <c r="G57" s="1047">
        <v>110360</v>
      </c>
      <c r="H57" s="1048">
        <v>34.21</v>
      </c>
      <c r="I57" s="1048">
        <v>69320340</v>
      </c>
      <c r="J57" s="1049">
        <f>+H57*VLOOKUP(F57,'Factores Emisión EDGE'!$K$204:$L$218,2,FALSE)</f>
        <v>84.28214043700001</v>
      </c>
      <c r="K57" s="1049">
        <v>0</v>
      </c>
      <c r="L57" s="1050">
        <f t="shared" si="9"/>
        <v>84.28214043700001</v>
      </c>
    </row>
    <row r="58" spans="2:12" ht="14.25" customHeight="1">
      <c r="B58" s="990" t="s">
        <v>694</v>
      </c>
      <c r="C58" s="896" t="s">
        <v>1347</v>
      </c>
      <c r="D58" s="992" t="s">
        <v>1354</v>
      </c>
      <c r="E58" s="992" t="s">
        <v>1360</v>
      </c>
      <c r="F58" s="992" t="s">
        <v>1361</v>
      </c>
      <c r="G58" s="1047">
        <v>10411</v>
      </c>
      <c r="H58" s="1048">
        <v>260.27999999999997</v>
      </c>
      <c r="I58" s="1048">
        <v>40969410</v>
      </c>
      <c r="J58" s="1049">
        <f>+H58*VLOOKUP(F58,'Factores Emisión EDGE'!$K$204:$L$218,2,FALSE)</f>
        <v>39.591550957779901</v>
      </c>
      <c r="K58" s="1049">
        <v>0</v>
      </c>
      <c r="L58" s="1050">
        <f t="shared" si="9"/>
        <v>39.591550957779901</v>
      </c>
    </row>
    <row r="59" spans="2:12" ht="14.25" customHeight="1">
      <c r="B59" s="990" t="s">
        <v>694</v>
      </c>
      <c r="C59" s="896" t="s">
        <v>1347</v>
      </c>
      <c r="D59" s="992" t="s">
        <v>1354</v>
      </c>
      <c r="E59" s="896" t="s">
        <v>1363</v>
      </c>
      <c r="F59" s="992" t="s">
        <v>1364</v>
      </c>
      <c r="G59" s="1047">
        <v>2609000</v>
      </c>
      <c r="H59" s="1048">
        <v>7</v>
      </c>
      <c r="I59" s="1048">
        <v>30264400</v>
      </c>
      <c r="J59" s="1049">
        <f>+H59*VLOOKUP(F59,'Factores Emisión EDGE'!$K$204:$L$218,2,FALSE)</f>
        <v>17.498479039999999</v>
      </c>
      <c r="K59" s="1049">
        <v>0</v>
      </c>
      <c r="L59" s="1050">
        <f t="shared" si="9"/>
        <v>17.498479039999999</v>
      </c>
    </row>
    <row r="60" spans="2:12" ht="14.25" customHeight="1">
      <c r="B60" s="990" t="s">
        <v>694</v>
      </c>
      <c r="C60" s="896" t="s">
        <v>1347</v>
      </c>
      <c r="D60" s="992" t="s">
        <v>1354</v>
      </c>
      <c r="E60" s="992" t="s">
        <v>1343</v>
      </c>
      <c r="F60" s="992" t="s">
        <v>1344</v>
      </c>
      <c r="G60" s="1047">
        <v>15542</v>
      </c>
      <c r="H60" s="1048">
        <v>10.9</v>
      </c>
      <c r="I60" s="1048">
        <v>8458552</v>
      </c>
      <c r="J60" s="1055">
        <f>+H60*VLOOKUP(F60,'Factores Emisión EDGE'!$K$204:$L$218,2,FALSE)</f>
        <v>6.8024101970000004</v>
      </c>
      <c r="K60" s="1049">
        <v>0</v>
      </c>
      <c r="L60" s="1050">
        <f t="shared" si="9"/>
        <v>6.8024101970000004</v>
      </c>
    </row>
    <row r="61" spans="2:12" ht="14.25" customHeight="1">
      <c r="B61" s="997" t="s">
        <v>694</v>
      </c>
      <c r="C61" s="998" t="s">
        <v>1347</v>
      </c>
      <c r="D61" s="1000" t="s">
        <v>1354</v>
      </c>
      <c r="E61" s="1000" t="s">
        <v>1367</v>
      </c>
      <c r="F61" s="1000" t="s">
        <v>1346</v>
      </c>
      <c r="G61" s="1051">
        <v>3200</v>
      </c>
      <c r="H61" s="1052">
        <v>0.23</v>
      </c>
      <c r="I61" s="1052">
        <v>1031000</v>
      </c>
      <c r="J61" s="1053">
        <f>+H61*VLOOKUP(F61,'Factores Emisión EDGE'!$K$204:$L$218,2,FALSE)</f>
        <v>0.56664403100000005</v>
      </c>
      <c r="K61" s="1053">
        <v>0</v>
      </c>
      <c r="L61" s="1054">
        <f t="shared" si="9"/>
        <v>0.56664403100000005</v>
      </c>
    </row>
    <row r="62" spans="2:12" ht="14.25" customHeight="1">
      <c r="B62" s="1056"/>
      <c r="C62" s="1056"/>
      <c r="D62" s="1056"/>
      <c r="E62" s="1056"/>
      <c r="F62" s="1056"/>
      <c r="G62" s="1057" t="s">
        <v>87</v>
      </c>
      <c r="H62" s="1058">
        <f t="shared" ref="H62:K62" si="10">+SUM(H47:H61)</f>
        <v>2016.42</v>
      </c>
      <c r="I62" s="1058">
        <f t="shared" si="10"/>
        <v>2443832537</v>
      </c>
      <c r="J62" s="1058">
        <f t="shared" si="10"/>
        <v>2685.8979524959236</v>
      </c>
      <c r="K62" s="1058">
        <f t="shared" si="10"/>
        <v>1534.3629846814999</v>
      </c>
      <c r="L62" s="1058">
        <f t="shared" si="9"/>
        <v>4220.2609371774233</v>
      </c>
    </row>
    <row r="63" spans="2:12" ht="14.25" customHeight="1">
      <c r="B63" s="1015"/>
      <c r="C63" s="1015"/>
      <c r="D63" s="1015"/>
      <c r="E63" s="1015"/>
      <c r="F63" s="1015"/>
      <c r="G63" s="1016" t="s">
        <v>1340</v>
      </c>
      <c r="H63" s="1059">
        <f t="shared" ref="H63:I63" si="11">SUM(H47:H52)</f>
        <v>846.61999999999989</v>
      </c>
      <c r="I63" s="1059">
        <f t="shared" si="11"/>
        <v>1204825029</v>
      </c>
      <c r="J63" s="1059">
        <f>+SUM(J47:J52)</f>
        <v>438.63140336814359</v>
      </c>
      <c r="K63" s="1059">
        <f>K62</f>
        <v>1534.3629846814999</v>
      </c>
      <c r="L63" s="1059">
        <f t="shared" si="9"/>
        <v>1972.9943880496435</v>
      </c>
    </row>
    <row r="64" spans="2:12" ht="14.25" customHeight="1">
      <c r="B64" s="1060"/>
      <c r="C64" s="1060"/>
      <c r="D64" s="1060"/>
      <c r="E64" s="1060"/>
      <c r="F64" s="1060"/>
      <c r="G64" s="1016" t="s">
        <v>1368</v>
      </c>
      <c r="H64" s="1059">
        <f t="shared" ref="H64:I64" si="12">SUM(H53:H61)</f>
        <v>1169.8000000000002</v>
      </c>
      <c r="I64" s="1059">
        <f t="shared" si="12"/>
        <v>1239007508</v>
      </c>
      <c r="J64" s="1059">
        <f>+SUM(J53:J61)</f>
        <v>2247.2665491277799</v>
      </c>
      <c r="K64" s="1059" t="s">
        <v>325</v>
      </c>
      <c r="L64" s="1059">
        <f>J64</f>
        <v>2247.2665491277799</v>
      </c>
    </row>
    <row r="66" spans="2:12" ht="14.25" customHeight="1">
      <c r="B66" s="1544" t="s">
        <v>1392</v>
      </c>
      <c r="C66" s="1434"/>
      <c r="D66" s="1434"/>
      <c r="E66" s="1434"/>
      <c r="F66" s="1434"/>
      <c r="G66" s="1434"/>
      <c r="H66" s="1434"/>
      <c r="I66" s="1434"/>
      <c r="J66" s="1434"/>
      <c r="K66" s="1434"/>
      <c r="L66" s="1435"/>
    </row>
    <row r="67" spans="2:12" ht="14.25" customHeight="1">
      <c r="B67" s="1024" t="s">
        <v>1370</v>
      </c>
      <c r="C67" s="1024" t="s">
        <v>1371</v>
      </c>
      <c r="D67" s="1024" t="s">
        <v>1372</v>
      </c>
      <c r="E67" s="1024" t="s">
        <v>1373</v>
      </c>
      <c r="F67" s="1024" t="s">
        <v>1374</v>
      </c>
      <c r="G67" s="1024" t="s">
        <v>1375</v>
      </c>
      <c r="H67" s="1024" t="s">
        <v>1376</v>
      </c>
      <c r="I67" s="1024" t="s">
        <v>1377</v>
      </c>
      <c r="J67" s="1024" t="s">
        <v>1378</v>
      </c>
      <c r="K67" s="1024" t="s">
        <v>1379</v>
      </c>
      <c r="L67" s="1024" t="s">
        <v>39</v>
      </c>
    </row>
    <row r="68" spans="2:12" ht="14.25" customHeight="1">
      <c r="B68" s="1007" t="s">
        <v>1380</v>
      </c>
      <c r="C68" s="1061">
        <v>127.5924</v>
      </c>
      <c r="D68" s="1062">
        <f t="shared" ref="D68:D79" si="13">C68/$C$79</f>
        <v>0.1842792200989084</v>
      </c>
      <c r="E68" s="1063">
        <v>1</v>
      </c>
      <c r="F68" s="1063">
        <v>0</v>
      </c>
      <c r="G68" s="1064">
        <f>'Factores Emisión EDGE'!$L$211</f>
        <v>3.3038364000000001E-2</v>
      </c>
      <c r="H68" s="1064">
        <f>'Factores Emisión EDGE'!$L$210</f>
        <v>0.62407433000000001</v>
      </c>
      <c r="I68" s="1064">
        <f>95%*'Factores Emisión EDGE'!$L$130</f>
        <v>1.7658971449999998</v>
      </c>
      <c r="J68" s="1064">
        <f t="shared" ref="J68:J78" si="14">((C68*E68*G68)+(C68*F68*H68))</f>
        <v>4.2154441548335999</v>
      </c>
      <c r="K68" s="1065">
        <f t="shared" ref="K68:K78" si="15">C68*I68</f>
        <v>225.31505488369797</v>
      </c>
      <c r="L68" s="1065">
        <f t="shared" ref="L68:L78" si="16">K68+J68</f>
        <v>229.53049903853156</v>
      </c>
    </row>
    <row r="69" spans="2:12" ht="14.25" customHeight="1">
      <c r="B69" s="1066" t="s">
        <v>1381</v>
      </c>
      <c r="C69" s="1061">
        <v>129.0444</v>
      </c>
      <c r="D69" s="1062">
        <f t="shared" si="13"/>
        <v>0.18637631543988181</v>
      </c>
      <c r="E69" s="1063">
        <v>1</v>
      </c>
      <c r="F69" s="1063">
        <v>0</v>
      </c>
      <c r="G69" s="1064">
        <f>'Factores Emisión EDGE'!$L$211</f>
        <v>3.3038364000000001E-2</v>
      </c>
      <c r="H69" s="1064">
        <f>'Factores Emisión EDGE'!$L$210</f>
        <v>0.62407433000000001</v>
      </c>
      <c r="I69" s="1064">
        <f>95%*'Factores Emisión EDGE'!$L$130</f>
        <v>1.7658971449999998</v>
      </c>
      <c r="J69" s="1064">
        <f t="shared" si="14"/>
        <v>4.2634158593615998</v>
      </c>
      <c r="K69" s="1065">
        <f t="shared" si="15"/>
        <v>227.87913753823798</v>
      </c>
      <c r="L69" s="1065">
        <f t="shared" si="16"/>
        <v>232.14255339759958</v>
      </c>
    </row>
    <row r="70" spans="2:12" ht="14.25" customHeight="1">
      <c r="B70" s="1066" t="s">
        <v>1382</v>
      </c>
      <c r="C70" s="1061">
        <v>130.63</v>
      </c>
      <c r="D70" s="1062">
        <f t="shared" si="13"/>
        <v>0.18866636666071337</v>
      </c>
      <c r="E70" s="1063">
        <v>1</v>
      </c>
      <c r="F70" s="1063">
        <v>0</v>
      </c>
      <c r="G70" s="1064">
        <f>'Factores Emisión EDGE'!$L$211</f>
        <v>3.3038364000000001E-2</v>
      </c>
      <c r="H70" s="1064">
        <f>'Factores Emisión EDGE'!$L$210</f>
        <v>0.62407433000000001</v>
      </c>
      <c r="I70" s="1064">
        <f>95%*'Factores Emisión EDGE'!$L$130</f>
        <v>1.7658971449999998</v>
      </c>
      <c r="J70" s="1064">
        <f t="shared" si="14"/>
        <v>4.3158014893200001</v>
      </c>
      <c r="K70" s="1065">
        <f t="shared" si="15"/>
        <v>230.67914405134997</v>
      </c>
      <c r="L70" s="1065">
        <f t="shared" si="16"/>
        <v>234.99494554066996</v>
      </c>
    </row>
    <row r="71" spans="2:12" ht="14.25" customHeight="1">
      <c r="B71" s="1066" t="s">
        <v>1383</v>
      </c>
      <c r="C71" s="1061">
        <v>83.930999999999997</v>
      </c>
      <c r="D71" s="1062">
        <f t="shared" si="13"/>
        <v>0.12121990982316722</v>
      </c>
      <c r="E71" s="1063">
        <v>1</v>
      </c>
      <c r="F71" s="1063">
        <v>0</v>
      </c>
      <c r="G71" s="1064">
        <f>'Factores Emisión EDGE'!$L$211</f>
        <v>3.3038364000000001E-2</v>
      </c>
      <c r="H71" s="1064">
        <f>'Factores Emisión EDGE'!$L$210</f>
        <v>0.62407433000000001</v>
      </c>
      <c r="I71" s="1064">
        <f>95%*'Factores Emisión EDGE'!$L$130</f>
        <v>1.7658971449999998</v>
      </c>
      <c r="J71" s="1064">
        <f t="shared" si="14"/>
        <v>2.772942928884</v>
      </c>
      <c r="K71" s="1065">
        <f t="shared" si="15"/>
        <v>148.21351327699497</v>
      </c>
      <c r="L71" s="1065">
        <f t="shared" si="16"/>
        <v>150.98645620587897</v>
      </c>
    </row>
    <row r="72" spans="2:12" ht="14.25" customHeight="1">
      <c r="B72" s="1066" t="s">
        <v>1384</v>
      </c>
      <c r="C72" s="1061">
        <v>91.546000000000006</v>
      </c>
      <c r="D72" s="1062">
        <f t="shared" si="13"/>
        <v>0.13221810611897472</v>
      </c>
      <c r="E72" s="1063">
        <v>1</v>
      </c>
      <c r="F72" s="1063">
        <v>0</v>
      </c>
      <c r="G72" s="1064">
        <f>'Factores Emisión EDGE'!$L$211</f>
        <v>3.3038364000000001E-2</v>
      </c>
      <c r="H72" s="1064">
        <f>'Factores Emisión EDGE'!$L$210</f>
        <v>0.62407433000000001</v>
      </c>
      <c r="I72" s="1064">
        <f>95%*'Factores Emisión EDGE'!$L$130</f>
        <v>1.7658971449999998</v>
      </c>
      <c r="J72" s="1064">
        <f t="shared" si="14"/>
        <v>3.0245300707440004</v>
      </c>
      <c r="K72" s="1065">
        <f t="shared" si="15"/>
        <v>161.66082003617001</v>
      </c>
      <c r="L72" s="1065">
        <f t="shared" si="16"/>
        <v>164.685350106914</v>
      </c>
    </row>
    <row r="73" spans="2:12" ht="14.25" customHeight="1">
      <c r="B73" s="1066" t="s">
        <v>1385</v>
      </c>
      <c r="C73" s="1061">
        <v>108.26496</v>
      </c>
      <c r="D73" s="1062">
        <f t="shared" si="13"/>
        <v>0.15636497466024243</v>
      </c>
      <c r="E73" s="1063">
        <v>1</v>
      </c>
      <c r="F73" s="1063">
        <v>0</v>
      </c>
      <c r="G73" s="1064">
        <f>'Factores Emisión EDGE'!$L$211</f>
        <v>3.3038364000000001E-2</v>
      </c>
      <c r="H73" s="1064">
        <f>'Factores Emisión EDGE'!$L$210</f>
        <v>0.62407433000000001</v>
      </c>
      <c r="I73" s="1064">
        <f>95%*'Factores Emisión EDGE'!$L$130</f>
        <v>1.7658971449999998</v>
      </c>
      <c r="J73" s="1064">
        <f t="shared" si="14"/>
        <v>3.57689715692544</v>
      </c>
      <c r="K73" s="1065">
        <f t="shared" si="15"/>
        <v>191.18478376753919</v>
      </c>
      <c r="L73" s="1065">
        <f t="shared" si="16"/>
        <v>194.76168092446463</v>
      </c>
    </row>
    <row r="74" spans="2:12" ht="14.25" customHeight="1">
      <c r="B74" s="1066" t="s">
        <v>1386</v>
      </c>
      <c r="C74" s="1061">
        <v>10.9975</v>
      </c>
      <c r="D74" s="1062">
        <f t="shared" si="13"/>
        <v>1.5883475215120534E-2</v>
      </c>
      <c r="E74" s="1063">
        <v>0.85</v>
      </c>
      <c r="F74" s="1063">
        <v>0.15</v>
      </c>
      <c r="G74" s="1064">
        <f>'Factores Emisión EDGE'!$L$211</f>
        <v>3.3038364000000001E-2</v>
      </c>
      <c r="H74" s="1064">
        <f>'Factores Emisión EDGE'!$L$210</f>
        <v>0.62407433000000001</v>
      </c>
      <c r="I74" s="1064">
        <f>95%*'Factores Emisión EDGE'!$L$130</f>
        <v>1.7658971449999998</v>
      </c>
      <c r="J74" s="1064">
        <f t="shared" si="14"/>
        <v>1.3383271135027499</v>
      </c>
      <c r="K74" s="1065">
        <f t="shared" si="15"/>
        <v>19.420453852137499</v>
      </c>
      <c r="L74" s="1065">
        <f t="shared" si="16"/>
        <v>20.758780965640248</v>
      </c>
    </row>
    <row r="75" spans="2:12" ht="14.25" customHeight="1">
      <c r="B75" s="1066" t="s">
        <v>1393</v>
      </c>
      <c r="C75" s="1061">
        <v>1.92</v>
      </c>
      <c r="D75" s="1062">
        <f t="shared" si="13"/>
        <v>2.7730186326921048E-3</v>
      </c>
      <c r="E75" s="1063">
        <v>1</v>
      </c>
      <c r="F75" s="1063">
        <v>0</v>
      </c>
      <c r="G75" s="1064">
        <f>'Factores Emisión EDGE'!$L$211</f>
        <v>3.3038364000000001E-2</v>
      </c>
      <c r="H75" s="1064">
        <f>'Factores Emisión EDGE'!$L$210</f>
        <v>0.62407433000000001</v>
      </c>
      <c r="I75" s="1064">
        <f>95%*'Factores Emisión EDGE'!$L$130</f>
        <v>1.7658971449999998</v>
      </c>
      <c r="J75" s="1064">
        <f t="shared" si="14"/>
        <v>6.3433658879999993E-2</v>
      </c>
      <c r="K75" s="1065">
        <f t="shared" si="15"/>
        <v>3.3905225183999996</v>
      </c>
      <c r="L75" s="1065">
        <f t="shared" si="16"/>
        <v>3.4539561772799998</v>
      </c>
    </row>
    <row r="76" spans="2:12" ht="14.25" customHeight="1">
      <c r="B76" s="1066" t="s">
        <v>1394</v>
      </c>
      <c r="C76" s="1061">
        <v>2.88</v>
      </c>
      <c r="D76" s="1062">
        <f t="shared" si="13"/>
        <v>4.1595279490381576E-3</v>
      </c>
      <c r="E76" s="1063">
        <v>1</v>
      </c>
      <c r="F76" s="1063">
        <v>0</v>
      </c>
      <c r="G76" s="1064">
        <f>'Factores Emisión EDGE'!$L$211</f>
        <v>3.3038364000000001E-2</v>
      </c>
      <c r="H76" s="1064">
        <f>'Factores Emisión EDGE'!$L$210</f>
        <v>0.62407433000000001</v>
      </c>
      <c r="I76" s="1064">
        <f>95%*'Factores Emisión EDGE'!$L$130</f>
        <v>1.7658971449999998</v>
      </c>
      <c r="J76" s="1064">
        <f t="shared" si="14"/>
        <v>9.5150488320000004E-2</v>
      </c>
      <c r="K76" s="1065">
        <f t="shared" si="15"/>
        <v>5.0857837775999997</v>
      </c>
      <c r="L76" s="1065">
        <f t="shared" si="16"/>
        <v>5.1809342659199995</v>
      </c>
    </row>
    <row r="77" spans="2:12" ht="14.25" customHeight="1">
      <c r="B77" s="1066" t="s">
        <v>1395</v>
      </c>
      <c r="C77" s="1061">
        <v>4.08</v>
      </c>
      <c r="D77" s="1062">
        <f t="shared" si="13"/>
        <v>5.8926645944707232E-3</v>
      </c>
      <c r="E77" s="1063">
        <v>1</v>
      </c>
      <c r="F77" s="1063">
        <v>0</v>
      </c>
      <c r="G77" s="1064">
        <f>'Factores Emisión EDGE'!$L$211</f>
        <v>3.3038364000000001E-2</v>
      </c>
      <c r="H77" s="1064">
        <f>'Factores Emisión EDGE'!$L$210</f>
        <v>0.62407433000000001</v>
      </c>
      <c r="I77" s="1064">
        <f>95%*'Factores Emisión EDGE'!$L$130</f>
        <v>1.7658971449999998</v>
      </c>
      <c r="J77" s="1064">
        <f t="shared" si="14"/>
        <v>0.13479652512000001</v>
      </c>
      <c r="K77" s="1065">
        <f t="shared" si="15"/>
        <v>7.2048603515999998</v>
      </c>
      <c r="L77" s="1065">
        <f t="shared" si="16"/>
        <v>7.3396568767199994</v>
      </c>
    </row>
    <row r="78" spans="2:12" ht="14.25" customHeight="1">
      <c r="B78" s="1007" t="s">
        <v>1396</v>
      </c>
      <c r="C78" s="1061">
        <v>1.5</v>
      </c>
      <c r="D78" s="1062">
        <f t="shared" si="13"/>
        <v>2.1664208067907072E-3</v>
      </c>
      <c r="E78" s="1063">
        <v>1</v>
      </c>
      <c r="F78" s="1063">
        <v>0</v>
      </c>
      <c r="G78" s="1064">
        <f>'Factores Emisión EDGE'!$L$211</f>
        <v>3.3038364000000001E-2</v>
      </c>
      <c r="H78" s="1064">
        <f>'Factores Emisión EDGE'!$L$210</f>
        <v>0.62407433000000001</v>
      </c>
      <c r="I78" s="1064">
        <f>95%*'Factores Emisión EDGE'!$L$130</f>
        <v>1.7658971449999998</v>
      </c>
      <c r="J78" s="1064">
        <f t="shared" si="14"/>
        <v>4.9557546000000001E-2</v>
      </c>
      <c r="K78" s="1065">
        <f t="shared" si="15"/>
        <v>2.6488457174999995</v>
      </c>
      <c r="L78" s="1065">
        <f t="shared" si="16"/>
        <v>2.6984032634999995</v>
      </c>
    </row>
    <row r="79" spans="2:12" ht="14.25" customHeight="1">
      <c r="B79" s="1067"/>
      <c r="C79" s="1068">
        <f>SUM(C68:C78)</f>
        <v>692.38625999999988</v>
      </c>
      <c r="D79" s="1062">
        <f t="shared" si="13"/>
        <v>1</v>
      </c>
      <c r="E79" s="1069" t="s">
        <v>325</v>
      </c>
      <c r="F79" s="1069" t="s">
        <v>325</v>
      </c>
      <c r="G79" s="1069" t="s">
        <v>325</v>
      </c>
      <c r="H79" s="1069" t="s">
        <v>325</v>
      </c>
      <c r="I79" s="1066" t="s">
        <v>87</v>
      </c>
      <c r="J79" s="1070">
        <f t="shared" ref="J79:K79" si="17">SUM(J68:J78)</f>
        <v>23.850296991891391</v>
      </c>
      <c r="K79" s="1070">
        <f t="shared" si="17"/>
        <v>1222.6829197712277</v>
      </c>
      <c r="L79" s="1070">
        <f>SUM(L68:L74)</f>
        <v>1227.860266179699</v>
      </c>
    </row>
    <row r="80" spans="2:12" ht="14.25" customHeight="1">
      <c r="B80" s="896" t="s">
        <v>1387</v>
      </c>
      <c r="C80" s="1071">
        <f>1-C81</f>
        <v>0.99761747871773188</v>
      </c>
      <c r="D80" s="1040"/>
      <c r="E80" s="1072"/>
      <c r="F80" s="1072"/>
      <c r="G80" s="1072"/>
      <c r="H80" s="1073"/>
      <c r="I80" s="1038" t="s">
        <v>1389</v>
      </c>
      <c r="J80" s="1039">
        <f>-(C79*H78)-J79+1</f>
        <v>-454.95078830259712</v>
      </c>
      <c r="K80" s="1040" t="s">
        <v>1397</v>
      </c>
      <c r="L80" s="1072"/>
    </row>
    <row r="81" spans="2:12" ht="14.25" customHeight="1">
      <c r="B81" s="896" t="s">
        <v>1388</v>
      </c>
      <c r="C81" s="1071">
        <f>C74*F74/C79</f>
        <v>2.3825212822680803E-3</v>
      </c>
      <c r="D81" s="1040"/>
      <c r="E81" s="1072"/>
      <c r="F81" s="1072"/>
      <c r="G81" s="1072"/>
      <c r="H81" s="1073"/>
      <c r="I81" s="1038" t="s">
        <v>1390</v>
      </c>
      <c r="J81" s="1041">
        <f>J80/(J80+L62)</f>
        <v>-0.12082690942167099</v>
      </c>
      <c r="K81" s="1040"/>
      <c r="L81" s="1072"/>
    </row>
    <row r="82" spans="2:12" ht="14.25" customHeight="1">
      <c r="B82" s="532"/>
      <c r="C82" s="532"/>
      <c r="D82" s="492"/>
      <c r="E82" s="444"/>
      <c r="F82" s="444"/>
      <c r="G82" s="444"/>
      <c r="H82" s="444"/>
      <c r="I82" s="532"/>
      <c r="J82" s="532"/>
      <c r="K82" s="444"/>
      <c r="L82" s="444"/>
    </row>
    <row r="83" spans="2:12" ht="14.25" customHeight="1">
      <c r="B83" s="1545" t="s">
        <v>1398</v>
      </c>
      <c r="C83" s="1546"/>
      <c r="D83" s="1546"/>
      <c r="E83" s="1546"/>
      <c r="F83" s="1546"/>
      <c r="G83" s="1546"/>
      <c r="H83" s="1546"/>
      <c r="I83" s="1546"/>
      <c r="J83" s="1546"/>
      <c r="K83" s="1546"/>
      <c r="L83" s="1547"/>
    </row>
    <row r="84" spans="2:12" ht="14.25" customHeight="1">
      <c r="B84" s="444"/>
      <c r="C84" s="444"/>
      <c r="D84" s="492"/>
      <c r="E84" s="444"/>
      <c r="F84" s="444"/>
      <c r="G84" s="444"/>
      <c r="H84" s="444"/>
      <c r="I84" s="444"/>
      <c r="J84" s="444"/>
      <c r="K84" s="444"/>
      <c r="L84" s="444"/>
    </row>
    <row r="85" spans="2:12" ht="14.25" customHeight="1">
      <c r="B85" s="1545">
        <v>2022</v>
      </c>
      <c r="C85" s="1546"/>
      <c r="D85" s="1546"/>
      <c r="E85" s="1546"/>
      <c r="F85" s="1546"/>
      <c r="G85" s="1546"/>
      <c r="H85" s="1546"/>
      <c r="I85" s="1546"/>
      <c r="J85" s="1546"/>
      <c r="K85" s="1546"/>
      <c r="L85" s="1547"/>
    </row>
    <row r="86" spans="2:12" ht="14.25" customHeight="1">
      <c r="B86" s="1024" t="s">
        <v>1332</v>
      </c>
      <c r="C86" s="1024" t="s">
        <v>1334</v>
      </c>
      <c r="D86" s="1024" t="s">
        <v>1335</v>
      </c>
      <c r="E86" s="1024" t="s">
        <v>1336</v>
      </c>
      <c r="F86" s="1024" t="s">
        <v>1399</v>
      </c>
      <c r="G86" s="1024" t="s">
        <v>1335</v>
      </c>
      <c r="H86" s="1024" t="s">
        <v>1373</v>
      </c>
      <c r="I86" s="1024" t="s">
        <v>1374</v>
      </c>
      <c r="J86" s="1024" t="s">
        <v>1400</v>
      </c>
      <c r="K86" s="1024" t="s">
        <v>1401</v>
      </c>
      <c r="L86" s="1024" t="s">
        <v>1402</v>
      </c>
    </row>
    <row r="87" spans="2:12" ht="14.25" customHeight="1">
      <c r="B87" s="1550" t="str">
        <f>B50</f>
        <v>Empaque y fin de vida</v>
      </c>
      <c r="C87" s="1550" t="str">
        <f t="shared" ref="C87:E87" si="18">D47</f>
        <v>INSUMO DE EMBALAJE</v>
      </c>
      <c r="D87" s="1550" t="str">
        <f t="shared" si="18"/>
        <v>Cajas</v>
      </c>
      <c r="E87" s="1550" t="str">
        <f t="shared" si="18"/>
        <v>Cartón</v>
      </c>
      <c r="F87" s="1550" t="s">
        <v>1403</v>
      </c>
      <c r="G87" s="896" t="s">
        <v>1404</v>
      </c>
      <c r="H87" s="1074">
        <v>1</v>
      </c>
      <c r="I87" s="1074">
        <v>0</v>
      </c>
      <c r="J87" s="1075">
        <v>44501</v>
      </c>
      <c r="K87" s="896" t="s">
        <v>1405</v>
      </c>
      <c r="L87" s="1076">
        <v>44652</v>
      </c>
    </row>
    <row r="88" spans="2:12" ht="14.25" customHeight="1">
      <c r="B88" s="1551"/>
      <c r="C88" s="1551"/>
      <c r="D88" s="1551"/>
      <c r="E88" s="1551"/>
      <c r="F88" s="1551"/>
      <c r="G88" s="896" t="s">
        <v>1406</v>
      </c>
      <c r="H88" s="1074">
        <v>1</v>
      </c>
      <c r="I88" s="1074">
        <v>0</v>
      </c>
      <c r="J88" s="1075">
        <v>44501</v>
      </c>
      <c r="K88" s="896" t="s">
        <v>1405</v>
      </c>
      <c r="L88" s="1076">
        <v>44652</v>
      </c>
    </row>
    <row r="89" spans="2:12" ht="14.25" customHeight="1">
      <c r="B89" s="1551"/>
      <c r="C89" s="1551"/>
      <c r="D89" s="1551"/>
      <c r="E89" s="1551"/>
      <c r="F89" s="1551"/>
      <c r="G89" s="896" t="s">
        <v>1407</v>
      </c>
      <c r="H89" s="1074">
        <v>0.85</v>
      </c>
      <c r="I89" s="1074">
        <v>0.15</v>
      </c>
      <c r="J89" s="1075">
        <v>44501</v>
      </c>
      <c r="K89" s="896" t="s">
        <v>1405</v>
      </c>
      <c r="L89" s="1076">
        <v>44652</v>
      </c>
    </row>
    <row r="90" spans="2:12" ht="14.25" customHeight="1">
      <c r="B90" s="1551"/>
      <c r="C90" s="1551"/>
      <c r="D90" s="1551"/>
      <c r="E90" s="1551"/>
      <c r="F90" s="1390"/>
      <c r="G90" s="896" t="s">
        <v>1385</v>
      </c>
      <c r="H90" s="1074">
        <v>1</v>
      </c>
      <c r="I90" s="1074">
        <v>0</v>
      </c>
      <c r="J90" s="1075">
        <v>44501</v>
      </c>
      <c r="K90" s="896" t="s">
        <v>1405</v>
      </c>
      <c r="L90" s="1076">
        <v>44652</v>
      </c>
    </row>
    <row r="91" spans="2:12" ht="14.25" customHeight="1">
      <c r="B91" s="1390"/>
      <c r="C91" s="1390"/>
      <c r="D91" s="1390"/>
      <c r="E91" s="1390"/>
      <c r="F91" s="896" t="s">
        <v>1408</v>
      </c>
      <c r="G91" s="896" t="s">
        <v>1409</v>
      </c>
      <c r="H91" s="1074">
        <v>1</v>
      </c>
      <c r="I91" s="1074">
        <v>0</v>
      </c>
      <c r="J91" s="1075">
        <v>44501</v>
      </c>
      <c r="K91" s="896" t="s">
        <v>1410</v>
      </c>
      <c r="L91" s="1077">
        <v>45255</v>
      </c>
    </row>
    <row r="92" spans="2:12" ht="14.25" customHeight="1">
      <c r="B92" s="1545">
        <v>2021</v>
      </c>
      <c r="C92" s="1546"/>
      <c r="D92" s="1546"/>
      <c r="E92" s="1546"/>
      <c r="F92" s="1546"/>
      <c r="G92" s="1546"/>
      <c r="H92" s="1546"/>
      <c r="I92" s="1546"/>
      <c r="J92" s="1546"/>
      <c r="K92" s="1546"/>
      <c r="L92" s="1547"/>
    </row>
    <row r="93" spans="2:12" ht="14.25" customHeight="1">
      <c r="B93" s="1024" t="s">
        <v>1332</v>
      </c>
      <c r="C93" s="1024" t="s">
        <v>1334</v>
      </c>
      <c r="D93" s="1024" t="s">
        <v>1335</v>
      </c>
      <c r="E93" s="1024" t="s">
        <v>1336</v>
      </c>
      <c r="F93" s="1024" t="s">
        <v>1399</v>
      </c>
      <c r="G93" s="1024" t="s">
        <v>1335</v>
      </c>
      <c r="H93" s="1024" t="s">
        <v>1373</v>
      </c>
      <c r="I93" s="1024" t="s">
        <v>1374</v>
      </c>
      <c r="J93" s="1024" t="s">
        <v>1400</v>
      </c>
      <c r="K93" s="1024" t="s">
        <v>1401</v>
      </c>
      <c r="L93" s="1024" t="s">
        <v>1402</v>
      </c>
    </row>
    <row r="94" spans="2:12" ht="14.25" customHeight="1">
      <c r="B94" s="1552" t="s">
        <v>1340</v>
      </c>
      <c r="C94" s="1548" t="s">
        <v>1342</v>
      </c>
      <c r="D94" s="1548" t="s">
        <v>1343</v>
      </c>
      <c r="E94" s="1548" t="s">
        <v>1344</v>
      </c>
      <c r="F94" s="1550" t="s">
        <v>1403</v>
      </c>
      <c r="G94" s="896" t="s">
        <v>1404</v>
      </c>
      <c r="H94" s="1074">
        <v>1</v>
      </c>
      <c r="I94" s="1074">
        <v>0</v>
      </c>
      <c r="J94" s="1075">
        <v>44501</v>
      </c>
      <c r="K94" s="896" t="s">
        <v>1405</v>
      </c>
      <c r="L94" s="1078">
        <v>44652</v>
      </c>
    </row>
    <row r="95" spans="2:12" ht="14.25" customHeight="1">
      <c r="B95" s="1551"/>
      <c r="C95" s="1549"/>
      <c r="D95" s="1549"/>
      <c r="E95" s="1549"/>
      <c r="F95" s="1551"/>
      <c r="G95" s="896" t="s">
        <v>1406</v>
      </c>
      <c r="H95" s="1074">
        <v>1</v>
      </c>
      <c r="I95" s="1074">
        <v>0</v>
      </c>
      <c r="J95" s="1075">
        <v>44501</v>
      </c>
      <c r="K95" s="896" t="s">
        <v>1405</v>
      </c>
      <c r="L95" s="1078">
        <v>44652</v>
      </c>
    </row>
    <row r="96" spans="2:12" ht="14.25" customHeight="1">
      <c r="B96" s="1551"/>
      <c r="C96" s="1549"/>
      <c r="D96" s="1549"/>
      <c r="E96" s="1549"/>
      <c r="F96" s="1551"/>
      <c r="G96" s="896" t="s">
        <v>1407</v>
      </c>
      <c r="H96" s="1074">
        <v>0.85</v>
      </c>
      <c r="I96" s="1074">
        <v>0.15</v>
      </c>
      <c r="J96" s="1075">
        <v>44501</v>
      </c>
      <c r="K96" s="896" t="s">
        <v>1405</v>
      </c>
      <c r="L96" s="1078">
        <v>44652</v>
      </c>
    </row>
    <row r="97" spans="2:14" ht="14.25" customHeight="1">
      <c r="B97" s="1551"/>
      <c r="C97" s="1549"/>
      <c r="D97" s="1549"/>
      <c r="E97" s="1549"/>
      <c r="F97" s="1390"/>
      <c r="G97" s="896" t="s">
        <v>1385</v>
      </c>
      <c r="H97" s="1074">
        <v>1</v>
      </c>
      <c r="I97" s="1074">
        <v>0</v>
      </c>
      <c r="J97" s="1075">
        <v>44501</v>
      </c>
      <c r="K97" s="896" t="s">
        <v>1405</v>
      </c>
      <c r="L97" s="1078">
        <v>44652</v>
      </c>
      <c r="M97" s="444"/>
      <c r="N97" s="654"/>
    </row>
    <row r="98" spans="2:14" ht="14.25" customHeight="1">
      <c r="B98" s="1390"/>
      <c r="C98" s="1490"/>
      <c r="D98" s="1490"/>
      <c r="E98" s="1490"/>
      <c r="F98" s="896" t="s">
        <v>1408</v>
      </c>
      <c r="G98" s="896" t="s">
        <v>1409</v>
      </c>
      <c r="H98" s="1074">
        <v>1</v>
      </c>
      <c r="I98" s="1074">
        <v>0</v>
      </c>
      <c r="J98" s="1075">
        <v>44501</v>
      </c>
      <c r="K98" s="896" t="s">
        <v>1410</v>
      </c>
      <c r="L98" s="1077">
        <v>45255</v>
      </c>
      <c r="M98" s="444"/>
      <c r="N98" s="654"/>
    </row>
    <row r="99" spans="2:14" ht="14.25" customHeight="1">
      <c r="B99" s="1545">
        <v>2023</v>
      </c>
      <c r="C99" s="1546"/>
      <c r="D99" s="1546"/>
      <c r="E99" s="1546"/>
      <c r="F99" s="1546"/>
      <c r="G99" s="1546"/>
      <c r="H99" s="1546"/>
      <c r="I99" s="1546"/>
      <c r="J99" s="1546"/>
      <c r="K99" s="1546"/>
      <c r="L99" s="1547"/>
      <c r="M99" s="444"/>
      <c r="N99" s="654"/>
    </row>
    <row r="100" spans="2:14" ht="14.25" customHeight="1">
      <c r="B100" s="1024" t="s">
        <v>1332</v>
      </c>
      <c r="C100" s="1024" t="s">
        <v>1334</v>
      </c>
      <c r="D100" s="1024" t="s">
        <v>1335</v>
      </c>
      <c r="E100" s="1024" t="s">
        <v>1336</v>
      </c>
      <c r="F100" s="1024" t="s">
        <v>1399</v>
      </c>
      <c r="G100" s="1024" t="s">
        <v>1335</v>
      </c>
      <c r="H100" s="1024" t="s">
        <v>1373</v>
      </c>
      <c r="I100" s="1024" t="s">
        <v>1374</v>
      </c>
      <c r="J100" s="1024" t="s">
        <v>1400</v>
      </c>
      <c r="K100" s="1024" t="s">
        <v>1401</v>
      </c>
      <c r="L100" s="1024" t="s">
        <v>1402</v>
      </c>
      <c r="M100" s="444"/>
      <c r="N100" s="654"/>
    </row>
    <row r="101" spans="2:14" ht="14.25" customHeight="1">
      <c r="B101" s="1552" t="s">
        <v>1340</v>
      </c>
      <c r="C101" s="1548" t="s">
        <v>1342</v>
      </c>
      <c r="D101" s="1548" t="s">
        <v>1343</v>
      </c>
      <c r="E101" s="1548" t="s">
        <v>1344</v>
      </c>
      <c r="F101" s="1550" t="s">
        <v>1403</v>
      </c>
      <c r="G101" s="896" t="s">
        <v>1404</v>
      </c>
      <c r="H101" s="1074">
        <v>1</v>
      </c>
      <c r="I101" s="1074">
        <v>0</v>
      </c>
      <c r="J101" s="1075">
        <v>44958</v>
      </c>
      <c r="K101" s="896" t="s">
        <v>1405</v>
      </c>
      <c r="L101" s="1079">
        <v>45108</v>
      </c>
      <c r="M101" s="444"/>
      <c r="N101" s="654"/>
    </row>
    <row r="102" spans="2:14" ht="14.25" customHeight="1">
      <c r="B102" s="1551"/>
      <c r="C102" s="1549"/>
      <c r="D102" s="1549"/>
      <c r="E102" s="1549"/>
      <c r="F102" s="1551"/>
      <c r="G102" s="896" t="s">
        <v>1406</v>
      </c>
      <c r="H102" s="1074">
        <v>1</v>
      </c>
      <c r="I102" s="1074">
        <v>0</v>
      </c>
      <c r="J102" s="1075">
        <v>44958</v>
      </c>
      <c r="K102" s="896" t="s">
        <v>1405</v>
      </c>
      <c r="L102" s="1079">
        <v>45108</v>
      </c>
      <c r="M102" s="444"/>
      <c r="N102" s="654"/>
    </row>
    <row r="103" spans="2:14" ht="14.25" customHeight="1">
      <c r="B103" s="1551"/>
      <c r="C103" s="1549"/>
      <c r="D103" s="1549"/>
      <c r="E103" s="1549"/>
      <c r="F103" s="1551"/>
      <c r="G103" s="896" t="s">
        <v>1407</v>
      </c>
      <c r="H103" s="1074">
        <v>0.85</v>
      </c>
      <c r="I103" s="1074">
        <v>0.15</v>
      </c>
      <c r="J103" s="1075">
        <v>44958</v>
      </c>
      <c r="K103" s="896" t="s">
        <v>1405</v>
      </c>
      <c r="L103" s="1079">
        <v>45108</v>
      </c>
      <c r="M103" s="444"/>
      <c r="N103" s="654"/>
    </row>
    <row r="104" spans="2:14" ht="14.25" customHeight="1">
      <c r="B104" s="1551"/>
      <c r="C104" s="1549"/>
      <c r="D104" s="1549"/>
      <c r="E104" s="1549"/>
      <c r="F104" s="1390"/>
      <c r="G104" s="896" t="s">
        <v>1385</v>
      </c>
      <c r="H104" s="1074">
        <v>1</v>
      </c>
      <c r="I104" s="1074">
        <v>0</v>
      </c>
      <c r="J104" s="1075">
        <v>44958</v>
      </c>
      <c r="K104" s="896" t="s">
        <v>1405</v>
      </c>
      <c r="L104" s="1079">
        <v>45108</v>
      </c>
      <c r="M104" s="444"/>
      <c r="N104" s="654"/>
    </row>
    <row r="105" spans="2:14" ht="14.25" customHeight="1">
      <c r="B105" s="1390"/>
      <c r="C105" s="1490"/>
      <c r="D105" s="1490"/>
      <c r="E105" s="1490"/>
      <c r="F105" s="896" t="s">
        <v>1408</v>
      </c>
      <c r="G105" s="896" t="s">
        <v>1409</v>
      </c>
      <c r="H105" s="1074">
        <v>0.69</v>
      </c>
      <c r="I105" s="1074">
        <v>0.31</v>
      </c>
      <c r="J105" s="1077">
        <v>44978</v>
      </c>
      <c r="K105" s="896" t="s">
        <v>1410</v>
      </c>
      <c r="L105" s="1077">
        <v>45343</v>
      </c>
      <c r="M105" s="444"/>
      <c r="N105" s="654"/>
    </row>
    <row r="106" spans="2:14" ht="14.25" customHeight="1">
      <c r="B106" s="444"/>
      <c r="C106" s="444"/>
      <c r="D106" s="444"/>
      <c r="E106" s="444"/>
      <c r="F106" s="444"/>
      <c r="G106" s="444"/>
      <c r="H106" s="444"/>
      <c r="I106" s="444"/>
      <c r="J106" s="444"/>
      <c r="K106" s="444"/>
      <c r="L106" s="444"/>
      <c r="M106" s="444"/>
      <c r="N106" s="654"/>
    </row>
    <row r="107" spans="2:14" ht="14.25" customHeight="1">
      <c r="B107" s="1553" t="s">
        <v>107</v>
      </c>
      <c r="C107" s="1434"/>
      <c r="D107" s="1434"/>
      <c r="E107" s="1434"/>
      <c r="F107" s="1434"/>
      <c r="G107" s="1434"/>
      <c r="H107" s="1435"/>
      <c r="I107" s="444"/>
      <c r="J107" s="444"/>
      <c r="K107" s="444"/>
      <c r="L107" s="444"/>
      <c r="M107" s="444"/>
      <c r="N107" s="654"/>
    </row>
    <row r="108" spans="2:14" ht="14.25" customHeight="1">
      <c r="B108" s="1081" t="s">
        <v>1335</v>
      </c>
      <c r="C108" s="1081" t="s">
        <v>1411</v>
      </c>
      <c r="D108" s="1082" t="s">
        <v>1412</v>
      </c>
      <c r="E108" s="1083" t="s">
        <v>1413</v>
      </c>
      <c r="F108" s="931" t="s">
        <v>1414</v>
      </c>
      <c r="G108" s="1081" t="s">
        <v>458</v>
      </c>
      <c r="H108" s="1081" t="s">
        <v>113</v>
      </c>
      <c r="I108" s="444"/>
      <c r="J108" s="444"/>
      <c r="K108" s="444"/>
      <c r="L108" s="444"/>
      <c r="M108" s="444"/>
      <c r="N108" s="654"/>
    </row>
    <row r="109" spans="2:14" ht="14.25" customHeight="1">
      <c r="B109" s="1084" t="s">
        <v>1415</v>
      </c>
      <c r="C109" s="1085" t="s">
        <v>1349</v>
      </c>
      <c r="D109" s="1086">
        <v>2.93</v>
      </c>
      <c r="E109" s="1083">
        <v>2.02</v>
      </c>
      <c r="F109" s="1087">
        <f t="shared" ref="F109:F116" si="19">E109+D109</f>
        <v>4.95</v>
      </c>
      <c r="G109" s="1088" t="s">
        <v>139</v>
      </c>
      <c r="H109" s="1088" t="s">
        <v>1416</v>
      </c>
      <c r="I109" s="462"/>
      <c r="J109" s="1089" t="s">
        <v>1417</v>
      </c>
      <c r="K109" s="1089" t="s">
        <v>1180</v>
      </c>
      <c r="L109" s="1090" t="s">
        <v>1418</v>
      </c>
      <c r="M109" s="1090" t="s">
        <v>1419</v>
      </c>
      <c r="N109" s="1090" t="s">
        <v>1420</v>
      </c>
    </row>
    <row r="110" spans="2:14" ht="14.25" customHeight="1">
      <c r="B110" s="1084" t="s">
        <v>1363</v>
      </c>
      <c r="C110" s="1085" t="s">
        <v>1364</v>
      </c>
      <c r="D110" s="1091">
        <v>2.5</v>
      </c>
      <c r="E110" s="1083">
        <v>2.4453562</v>
      </c>
      <c r="F110" s="1087">
        <f t="shared" si="19"/>
        <v>4.9453562</v>
      </c>
      <c r="G110" s="1088" t="s">
        <v>139</v>
      </c>
      <c r="H110" s="1088" t="s">
        <v>162</v>
      </c>
      <c r="I110" s="462"/>
      <c r="J110" s="1090">
        <v>2022</v>
      </c>
      <c r="K110" s="1090" t="s">
        <v>1421</v>
      </c>
      <c r="L110" s="1090" t="s">
        <v>1422</v>
      </c>
      <c r="M110" s="1090" t="s">
        <v>1423</v>
      </c>
      <c r="N110" s="1090">
        <v>256</v>
      </c>
    </row>
    <row r="111" spans="2:14" ht="14.25" customHeight="1">
      <c r="B111" s="1084" t="s">
        <v>1424</v>
      </c>
      <c r="C111" s="1085" t="s">
        <v>1346</v>
      </c>
      <c r="D111" s="1086">
        <v>2.46</v>
      </c>
      <c r="E111" s="1083">
        <v>2.13</v>
      </c>
      <c r="F111" s="1087">
        <f t="shared" si="19"/>
        <v>4.59</v>
      </c>
      <c r="G111" s="1088" t="s">
        <v>139</v>
      </c>
      <c r="H111" s="1088" t="s">
        <v>162</v>
      </c>
      <c r="I111" s="462"/>
      <c r="J111" s="1090">
        <v>2022</v>
      </c>
      <c r="K111" s="1090" t="s">
        <v>1425</v>
      </c>
      <c r="L111" s="1090" t="s">
        <v>1426</v>
      </c>
      <c r="M111" s="1090" t="s">
        <v>1427</v>
      </c>
      <c r="N111" s="1092">
        <f>(C41*H10)/N110</f>
        <v>0.8845907108337242</v>
      </c>
    </row>
    <row r="112" spans="2:14" ht="14.25" customHeight="1">
      <c r="B112" s="1084" t="s">
        <v>1428</v>
      </c>
      <c r="C112" s="1085" t="s">
        <v>1356</v>
      </c>
      <c r="D112" s="1086">
        <v>2.52</v>
      </c>
      <c r="E112" s="1083">
        <v>0.12845959000000001</v>
      </c>
      <c r="F112" s="1087">
        <f t="shared" si="19"/>
        <v>2.6484595899999999</v>
      </c>
      <c r="G112" s="1088" t="s">
        <v>139</v>
      </c>
      <c r="H112" s="1088" t="s">
        <v>162</v>
      </c>
      <c r="I112" s="462"/>
      <c r="J112" s="1090">
        <v>2021</v>
      </c>
      <c r="K112" s="1090" t="s">
        <v>1421</v>
      </c>
      <c r="L112" s="1090" t="s">
        <v>1422</v>
      </c>
      <c r="M112" s="1090" t="s">
        <v>1423</v>
      </c>
      <c r="N112" s="1090">
        <v>771</v>
      </c>
    </row>
    <row r="113" spans="2:14" ht="14.25" customHeight="1">
      <c r="B113" s="1084" t="s">
        <v>1429</v>
      </c>
      <c r="C113" s="1085" t="s">
        <v>1358</v>
      </c>
      <c r="D113" s="1086">
        <v>2.3199999999999998</v>
      </c>
      <c r="E113" s="1083">
        <v>0.12845959000000001</v>
      </c>
      <c r="F113" s="1087">
        <f t="shared" si="19"/>
        <v>2.4484595899999997</v>
      </c>
      <c r="G113" s="1088" t="s">
        <v>139</v>
      </c>
      <c r="H113" s="1088" t="s">
        <v>162</v>
      </c>
      <c r="I113" s="462"/>
      <c r="J113" s="1090">
        <v>2021</v>
      </c>
      <c r="K113" s="1090" t="s">
        <v>1425</v>
      </c>
      <c r="L113" s="1090" t="s">
        <v>1426</v>
      </c>
      <c r="M113" s="1090" t="s">
        <v>1427</v>
      </c>
      <c r="N113" s="1092">
        <f>(C80*H47)/N112</f>
        <v>0.89590190154263338</v>
      </c>
    </row>
    <row r="114" spans="2:14" ht="14.25" customHeight="1">
      <c r="B114" s="1084" t="s">
        <v>1343</v>
      </c>
      <c r="C114" s="1085" t="s">
        <v>1430</v>
      </c>
      <c r="D114" s="1086">
        <v>0.03</v>
      </c>
      <c r="E114" s="1083">
        <v>1.77</v>
      </c>
      <c r="F114" s="1087">
        <f t="shared" si="19"/>
        <v>1.8</v>
      </c>
      <c r="G114" s="1088" t="s">
        <v>139</v>
      </c>
      <c r="H114" s="1088" t="s">
        <v>162</v>
      </c>
      <c r="I114" s="462"/>
      <c r="J114" s="654"/>
      <c r="K114" s="654"/>
      <c r="L114" s="654"/>
      <c r="M114" s="654"/>
      <c r="N114" s="654"/>
    </row>
    <row r="115" spans="2:14" ht="14.25" customHeight="1">
      <c r="B115" s="1084" t="s">
        <v>1431</v>
      </c>
      <c r="C115" s="1085" t="s">
        <v>1432</v>
      </c>
      <c r="D115" s="1091">
        <v>0.62407433000000001</v>
      </c>
      <c r="E115" s="1083">
        <v>1.77</v>
      </c>
      <c r="F115" s="1087">
        <f t="shared" si="19"/>
        <v>2.39407433</v>
      </c>
      <c r="G115" s="1088" t="s">
        <v>139</v>
      </c>
      <c r="H115" s="1088" t="s">
        <v>162</v>
      </c>
      <c r="I115" s="1072"/>
      <c r="J115" s="1042"/>
      <c r="K115" s="1042"/>
      <c r="L115" s="1042"/>
      <c r="M115" s="1042"/>
      <c r="N115" s="481"/>
    </row>
    <row r="116" spans="2:14" ht="14.25" customHeight="1">
      <c r="B116" s="1084" t="s">
        <v>1360</v>
      </c>
      <c r="C116" s="1085" t="s">
        <v>1361</v>
      </c>
      <c r="D116" s="1091">
        <v>0.15</v>
      </c>
      <c r="E116" s="1083">
        <v>7.4860109999999994E-2</v>
      </c>
      <c r="F116" s="1087">
        <f t="shared" si="19"/>
        <v>0.22486011</v>
      </c>
      <c r="G116" s="1088" t="s">
        <v>139</v>
      </c>
      <c r="H116" s="1088" t="s">
        <v>162</v>
      </c>
      <c r="I116" s="444"/>
      <c r="J116" s="444"/>
      <c r="K116" s="444"/>
      <c r="L116" s="444"/>
      <c r="M116" s="444"/>
      <c r="N116" s="654"/>
    </row>
    <row r="117" spans="2:14" ht="14.25" customHeight="1">
      <c r="B117" s="1084" t="s">
        <v>1433</v>
      </c>
      <c r="C117" s="1085" t="s">
        <v>1353</v>
      </c>
      <c r="D117" s="1086">
        <f t="shared" ref="D117:F117" si="20">D116</f>
        <v>0.15</v>
      </c>
      <c r="E117" s="1083">
        <f t="shared" si="20"/>
        <v>7.4860109999999994E-2</v>
      </c>
      <c r="F117" s="1087">
        <f t="shared" si="20"/>
        <v>0.22486011</v>
      </c>
      <c r="G117" s="1088" t="s">
        <v>139</v>
      </c>
      <c r="H117" s="1088" t="s">
        <v>162</v>
      </c>
      <c r="I117" s="1093" t="s">
        <v>1434</v>
      </c>
      <c r="K117" s="444"/>
      <c r="L117" s="444"/>
      <c r="M117" s="444"/>
      <c r="N117" s="654"/>
    </row>
    <row r="118" spans="2:14" ht="14.25" customHeight="1">
      <c r="B118" s="532"/>
      <c r="C118" s="532"/>
      <c r="D118" s="533"/>
      <c r="E118" s="532"/>
      <c r="F118" s="532"/>
      <c r="G118" s="532"/>
      <c r="H118" s="532"/>
      <c r="I118" s="532"/>
      <c r="J118" s="444"/>
      <c r="K118" s="444"/>
      <c r="L118" s="444"/>
      <c r="M118" s="444"/>
      <c r="N118" s="654"/>
    </row>
    <row r="119" spans="2:14" ht="14.25" customHeight="1">
      <c r="B119" s="444"/>
      <c r="C119" s="444"/>
      <c r="D119" s="492"/>
      <c r="E119" s="444"/>
      <c r="F119" s="444"/>
      <c r="G119" s="444"/>
      <c r="H119" s="444"/>
      <c r="I119" s="444"/>
      <c r="J119" s="444"/>
      <c r="K119" s="444"/>
      <c r="L119" s="444"/>
      <c r="M119" s="444"/>
      <c r="N119" s="654"/>
    </row>
    <row r="120" spans="2:14" ht="14.25" customHeight="1">
      <c r="B120" s="1520" t="s">
        <v>874</v>
      </c>
      <c r="C120" s="1434"/>
      <c r="D120" s="1434"/>
      <c r="E120" s="1434"/>
      <c r="F120" s="1434"/>
      <c r="G120" s="1434"/>
      <c r="H120" s="1434"/>
      <c r="I120" s="1434"/>
      <c r="J120" s="1434"/>
      <c r="K120" s="1435"/>
      <c r="L120" s="1094"/>
      <c r="M120" s="1095"/>
      <c r="N120" s="1095"/>
    </row>
    <row r="121" spans="2:14" ht="14.25" customHeight="1">
      <c r="B121" s="1024" t="s">
        <v>875</v>
      </c>
      <c r="C121" s="1024">
        <v>2021</v>
      </c>
      <c r="D121" s="1024">
        <v>2022</v>
      </c>
      <c r="E121" s="1024" t="s">
        <v>469</v>
      </c>
      <c r="G121" s="1024" t="s">
        <v>875</v>
      </c>
      <c r="H121" s="1024">
        <v>2021</v>
      </c>
      <c r="I121" s="1024">
        <v>2022</v>
      </c>
      <c r="J121" s="1024" t="s">
        <v>469</v>
      </c>
    </row>
    <row r="122" spans="2:14" ht="14.25" customHeight="1">
      <c r="B122" s="1096" t="s">
        <v>1435</v>
      </c>
      <c r="C122" s="1097"/>
      <c r="D122" s="1097"/>
      <c r="E122" s="1097"/>
      <c r="G122" s="1098" t="s">
        <v>1436</v>
      </c>
      <c r="H122" s="1099"/>
      <c r="I122" s="1099"/>
      <c r="J122" s="1100"/>
    </row>
    <row r="123" spans="2:14" ht="14.25" customHeight="1">
      <c r="B123" s="1007" t="s">
        <v>1437</v>
      </c>
      <c r="C123" s="1101">
        <f t="shared" ref="C123:C125" si="21">G53/$C$173</f>
        <v>5.5331074573556288E-3</v>
      </c>
      <c r="D123" s="1101">
        <f t="shared" ref="D123:D125" si="22">G16/$C$174</f>
        <v>4.8625985131033802E-3</v>
      </c>
      <c r="E123" s="1027">
        <f t="shared" ref="E123:E133" si="23">D123-C123</f>
        <v>-6.7050894425224866E-4</v>
      </c>
      <c r="G123" s="1007" t="str">
        <f t="shared" ref="G123:G133" si="24">E16&amp;" "&amp;F16</f>
        <v>Film PE baja densidad</v>
      </c>
      <c r="H123" s="1063">
        <f>$J$53/$J$64</f>
        <v>0.32590213979746124</v>
      </c>
      <c r="I123" s="1063">
        <f t="shared" ref="I123:I133" si="25">J16/$J$29</f>
        <v>0.47558485540143508</v>
      </c>
      <c r="J123" s="1027">
        <f t="shared" ref="J123:J133" si="26">I123-H123</f>
        <v>0.14968271560397384</v>
      </c>
    </row>
    <row r="124" spans="2:14" ht="14.25" customHeight="1">
      <c r="B124" s="1007" t="s">
        <v>1438</v>
      </c>
      <c r="C124" s="1101">
        <f t="shared" si="21"/>
        <v>2.3268872389624407E-3</v>
      </c>
      <c r="D124" s="1101">
        <f t="shared" si="22"/>
        <v>9.4630781362383862E-4</v>
      </c>
      <c r="E124" s="1027">
        <f t="shared" si="23"/>
        <v>-1.3805794253386021E-3</v>
      </c>
      <c r="G124" s="1007" t="str">
        <f t="shared" si="24"/>
        <v>Bandeja PE alta densidad</v>
      </c>
      <c r="H124" s="1063">
        <f>$J$54/$J$64</f>
        <v>0.29161318670246344</v>
      </c>
      <c r="I124" s="1063">
        <f t="shared" si="25"/>
        <v>0.19584228238313778</v>
      </c>
      <c r="J124" s="1027">
        <f t="shared" si="26"/>
        <v>-9.5770904319325667E-2</v>
      </c>
    </row>
    <row r="125" spans="2:14" ht="14.25" customHeight="1">
      <c r="B125" s="1007" t="s">
        <v>1439</v>
      </c>
      <c r="C125" s="1101">
        <f t="shared" si="21"/>
        <v>2.5498470820278521E-2</v>
      </c>
      <c r="D125" s="1101">
        <f t="shared" si="22"/>
        <v>4.921245521132446E-2</v>
      </c>
      <c r="E125" s="1027">
        <f t="shared" si="23"/>
        <v>2.3713984391045939E-2</v>
      </c>
      <c r="G125" s="1007" t="str">
        <f t="shared" si="24"/>
        <v>Bolsa PE baja densidad</v>
      </c>
      <c r="H125" s="1063">
        <f>$J$56/J$64</f>
        <v>6.3789989782760265E-2</v>
      </c>
      <c r="I125" s="1063">
        <f t="shared" si="25"/>
        <v>0.12514988566109977</v>
      </c>
      <c r="J125" s="1027">
        <f t="shared" si="26"/>
        <v>6.135989587833951E-2</v>
      </c>
    </row>
    <row r="126" spans="2:14" ht="14.25" customHeight="1">
      <c r="B126" s="1007" t="s">
        <v>1440</v>
      </c>
      <c r="C126" s="1101">
        <f>G61/C173</f>
        <v>9.7137031696299125E-5</v>
      </c>
      <c r="D126" s="1101">
        <f>G26/C174</f>
        <v>1.0468006787874322E-5</v>
      </c>
      <c r="E126" s="1027">
        <f t="shared" si="23"/>
        <v>-8.6669024908424803E-5</v>
      </c>
      <c r="G126" s="1007" t="str">
        <f t="shared" si="24"/>
        <v>Pallet Madera</v>
      </c>
      <c r="H126" s="1063">
        <f>$J$58/$J$64</f>
        <v>1.7617647970218028E-2</v>
      </c>
      <c r="I126" s="1063">
        <f t="shared" si="25"/>
        <v>9.8070334736263087E-2</v>
      </c>
      <c r="J126" s="1027">
        <f t="shared" si="26"/>
        <v>8.0452686766045056E-2</v>
      </c>
    </row>
    <row r="127" spans="2:14" ht="14.25" customHeight="1">
      <c r="B127" s="1007" t="s">
        <v>1441</v>
      </c>
      <c r="C127" s="1101">
        <f>G57/C173</f>
        <v>3.3500133806261163E-3</v>
      </c>
      <c r="D127" s="1101">
        <f>G20/C174</f>
        <v>3.6522875682893506E-3</v>
      </c>
      <c r="E127" s="1027">
        <f t="shared" si="23"/>
        <v>3.0227418766323429E-4</v>
      </c>
      <c r="G127" s="1007" t="str">
        <f t="shared" si="24"/>
        <v>Rollo Papel</v>
      </c>
      <c r="H127" s="1063">
        <f>J57/$J$64</f>
        <v>3.7504291811628669E-2</v>
      </c>
      <c r="I127" s="1063">
        <f t="shared" si="25"/>
        <v>6.7524488481116543E-2</v>
      </c>
      <c r="J127" s="1027">
        <f t="shared" si="26"/>
        <v>3.0020196669487874E-2</v>
      </c>
    </row>
    <row r="128" spans="2:14" ht="14.25" customHeight="1">
      <c r="B128" s="1007" t="s">
        <v>1442</v>
      </c>
      <c r="C128" s="1101">
        <f>G58/C173</f>
        <v>3.160292615594282E-4</v>
      </c>
      <c r="D128" s="1101">
        <f>G58/C174</f>
        <v>5.4491209334279784E-4</v>
      </c>
      <c r="E128" s="1027">
        <f t="shared" si="23"/>
        <v>2.2888283178336963E-4</v>
      </c>
      <c r="G128" s="1007" t="str">
        <f t="shared" si="24"/>
        <v>Ventanilla Plástico</v>
      </c>
      <c r="H128" s="1063">
        <f>$J$59/$J$64</f>
        <v>7.7865614325063467E-3</v>
      </c>
      <c r="I128" s="1063">
        <f t="shared" si="25"/>
        <v>1.9682358792314239E-2</v>
      </c>
      <c r="J128" s="1027">
        <f t="shared" si="26"/>
        <v>1.1895797359807891E-2</v>
      </c>
    </row>
    <row r="129" spans="2:10" ht="14.25" customHeight="1">
      <c r="B129" s="1007" t="s">
        <v>1443</v>
      </c>
      <c r="C129" s="1101">
        <f>G59/C173</f>
        <v>7.9197036154888878E-2</v>
      </c>
      <c r="D129" s="1101">
        <f>G22/C174</f>
        <v>4.5954549798768271E-2</v>
      </c>
      <c r="E129" s="1027">
        <f t="shared" si="23"/>
        <v>-3.3242486356120607E-2</v>
      </c>
      <c r="G129" s="1007" t="str">
        <f t="shared" si="24"/>
        <v>Sello Plástico</v>
      </c>
      <c r="H129" s="1063">
        <f>$J$55/$J$64</f>
        <v>0.25250706359699149</v>
      </c>
      <c r="I129" s="1063">
        <f t="shared" si="25"/>
        <v>1.3904422110191814E-2</v>
      </c>
      <c r="J129" s="1027">
        <f t="shared" si="26"/>
        <v>-0.23860264148679966</v>
      </c>
    </row>
    <row r="130" spans="2:10" ht="14.25" customHeight="1">
      <c r="B130" s="1007" t="s">
        <v>1444</v>
      </c>
      <c r="C130" s="1101">
        <f>G60/C173</f>
        <v>4.7178242081996282E-4</v>
      </c>
      <c r="D130" s="1101">
        <f>G23/C174</f>
        <v>3.1278404282168471E-4</v>
      </c>
      <c r="E130" s="1027">
        <f t="shared" si="23"/>
        <v>-1.5899837799827812E-4</v>
      </c>
      <c r="G130" s="1007" t="str">
        <f t="shared" si="24"/>
        <v>Cinta Adhesivo</v>
      </c>
      <c r="H130" s="1063">
        <v>0</v>
      </c>
      <c r="I130" s="1063">
        <f t="shared" si="25"/>
        <v>1.7728997390158388E-3</v>
      </c>
      <c r="J130" s="1027">
        <f t="shared" si="26"/>
        <v>1.7728997390158388E-3</v>
      </c>
    </row>
    <row r="131" spans="2:10" ht="14.25" customHeight="1">
      <c r="B131" s="1007" t="s">
        <v>1445</v>
      </c>
      <c r="C131" s="1101">
        <f>G56/C173</f>
        <v>4.1990213929741754E-2</v>
      </c>
      <c r="D131" s="1101">
        <f>G24/C174</f>
        <v>2.1459413915142359E-4</v>
      </c>
      <c r="E131" s="1027">
        <f t="shared" si="23"/>
        <v>-4.1775619790590329E-2</v>
      </c>
      <c r="G131" s="1007" t="str">
        <f t="shared" si="24"/>
        <v>Cajas Cartón</v>
      </c>
      <c r="H131" s="1063">
        <f>$J$60/$J$64</f>
        <v>3.0269707879735873E-3</v>
      </c>
      <c r="I131" s="1063">
        <f t="shared" si="25"/>
        <v>1.6209750936254281E-3</v>
      </c>
      <c r="J131" s="1027">
        <f t="shared" si="26"/>
        <v>-1.4059956943481592E-3</v>
      </c>
    </row>
    <row r="132" spans="2:10" ht="14.25" customHeight="1">
      <c r="B132" s="1007" t="s">
        <v>1446</v>
      </c>
      <c r="C132" s="1101">
        <f>0/C173</f>
        <v>0</v>
      </c>
      <c r="D132" s="1101">
        <f>G25/C174</f>
        <v>2.0936013575748643E-4</v>
      </c>
      <c r="E132" s="1027">
        <f t="shared" si="23"/>
        <v>2.0936013575748643E-4</v>
      </c>
      <c r="G132" s="1007" t="str">
        <f t="shared" si="24"/>
        <v>Carpeta Papel</v>
      </c>
      <c r="H132" s="1063">
        <v>0</v>
      </c>
      <c r="I132" s="1063">
        <f t="shared" si="25"/>
        <v>6.8673838819911608E-4</v>
      </c>
      <c r="J132" s="1027">
        <f t="shared" si="26"/>
        <v>6.8673838819911608E-4</v>
      </c>
    </row>
    <row r="133" spans="2:10" ht="14.25" customHeight="1">
      <c r="B133" s="896" t="s">
        <v>1447</v>
      </c>
      <c r="C133" s="1101">
        <f>0/C173</f>
        <v>0</v>
      </c>
      <c r="D133" s="1101">
        <f>G19/C174</f>
        <v>1.0653290508019697E-3</v>
      </c>
      <c r="E133" s="1027">
        <f t="shared" si="23"/>
        <v>1.0653290508019697E-3</v>
      </c>
      <c r="G133" s="1007" t="str">
        <f t="shared" si="24"/>
        <v>Libreta Papel</v>
      </c>
      <c r="H133" s="1063">
        <f>$J$61/$J$64</f>
        <v>2.5214811799691882E-4</v>
      </c>
      <c r="I133" s="1063">
        <f t="shared" si="25"/>
        <v>1.6075921360115674E-4</v>
      </c>
      <c r="J133" s="1027">
        <f t="shared" si="26"/>
        <v>-9.1388904395762083E-5</v>
      </c>
    </row>
    <row r="134" spans="2:10" ht="14.25" customHeight="1">
      <c r="B134" s="1096" t="s">
        <v>1448</v>
      </c>
      <c r="C134" s="1102"/>
      <c r="D134" s="1102"/>
      <c r="E134" s="1103"/>
      <c r="G134" s="1098" t="s">
        <v>1449</v>
      </c>
      <c r="H134" s="1100">
        <f t="shared" ref="H134:I134" si="27">SUM(H123:H133)</f>
        <v>0.99999999999999989</v>
      </c>
      <c r="I134" s="1100">
        <f t="shared" si="27"/>
        <v>0.99999999999999989</v>
      </c>
      <c r="J134" s="1100"/>
    </row>
    <row r="135" spans="2:10" ht="14.25" customHeight="1">
      <c r="B135" s="896" t="s">
        <v>1439</v>
      </c>
      <c r="C135" s="1101">
        <f t="shared" ref="C135:C140" si="28">G47/$C$173</f>
        <v>0.1063421617943541</v>
      </c>
      <c r="D135" s="1101">
        <f t="shared" ref="D135:D140" si="29">G10/$C$174</f>
        <v>5.5706858962555623E-2</v>
      </c>
      <c r="E135" s="1027">
        <f t="shared" ref="E135:E140" si="30">D135-C135</f>
        <v>-5.0635302831798477E-2</v>
      </c>
      <c r="G135" s="1098" t="s">
        <v>1450</v>
      </c>
      <c r="H135" s="1099"/>
      <c r="I135" s="1099"/>
      <c r="J135" s="1100"/>
    </row>
    <row r="136" spans="2:10" ht="14.25" customHeight="1">
      <c r="B136" s="896" t="s">
        <v>1451</v>
      </c>
      <c r="C136" s="1101">
        <f t="shared" si="28"/>
        <v>6.4552444769097994E-2</v>
      </c>
      <c r="D136" s="1101">
        <f t="shared" si="29"/>
        <v>4.5059535218405014E-2</v>
      </c>
      <c r="E136" s="1027">
        <f t="shared" si="30"/>
        <v>-1.949290955069298E-2</v>
      </c>
      <c r="G136" s="1007" t="str">
        <f t="shared" ref="G136:G141" si="31">E10&amp;" "&amp;F10</f>
        <v>Cajas Cartón</v>
      </c>
      <c r="H136" s="1063">
        <f t="shared" ref="H136:H141" si="32">L47/$L$63</f>
        <v>0.63180468751903107</v>
      </c>
      <c r="I136" s="1063">
        <f t="shared" ref="I136:I141" si="33">(L10/$L$28)</f>
        <v>0.55993075565383954</v>
      </c>
      <c r="J136" s="1027">
        <f t="shared" ref="J136:J141" si="34">I136-H136</f>
        <v>-7.1873931865191532E-2</v>
      </c>
    </row>
    <row r="137" spans="2:10" ht="14.25" customHeight="1">
      <c r="B137" s="896" t="s">
        <v>1452</v>
      </c>
      <c r="C137" s="1101">
        <f t="shared" si="28"/>
        <v>1.7568142841947851E-3</v>
      </c>
      <c r="D137" s="1101">
        <f t="shared" si="29"/>
        <v>1.0802459604746905E-3</v>
      </c>
      <c r="E137" s="1027">
        <f t="shared" si="30"/>
        <v>-6.7656832372009457E-4</v>
      </c>
      <c r="G137" s="1007" t="str">
        <f t="shared" si="31"/>
        <v>Sobre Papel</v>
      </c>
      <c r="H137" s="1063">
        <f t="shared" si="32"/>
        <v>0.17930213708261131</v>
      </c>
      <c r="I137" s="1063">
        <f t="shared" si="33"/>
        <v>0.18263482683292584</v>
      </c>
      <c r="J137" s="1027">
        <f t="shared" si="34"/>
        <v>3.3326897503145325E-3</v>
      </c>
    </row>
    <row r="138" spans="2:10" ht="14.25" customHeight="1">
      <c r="B138" s="896" t="s">
        <v>1453</v>
      </c>
      <c r="C138" s="1101">
        <f t="shared" si="28"/>
        <v>8.8550421647570331E-3</v>
      </c>
      <c r="D138" s="1101">
        <f t="shared" si="29"/>
        <v>9.8429097625364059E-3</v>
      </c>
      <c r="E138" s="1027">
        <f t="shared" si="30"/>
        <v>9.8786759777937279E-4</v>
      </c>
      <c r="G138" s="1007" t="str">
        <f t="shared" si="31"/>
        <v>Etiquetas Adhesivo</v>
      </c>
      <c r="H138" s="1063">
        <f t="shared" si="32"/>
        <v>0.12018742144290046</v>
      </c>
      <c r="I138" s="1063">
        <f t="shared" si="33"/>
        <v>0.1422279671736649</v>
      </c>
      <c r="J138" s="1027">
        <f t="shared" si="34"/>
        <v>2.2040545730764444E-2</v>
      </c>
    </row>
    <row r="139" spans="2:10" ht="14.25" customHeight="1">
      <c r="B139" s="896" t="s">
        <v>1454</v>
      </c>
      <c r="C139" s="1101">
        <f t="shared" si="28"/>
        <v>8.0805868242358838E-5</v>
      </c>
      <c r="D139" s="1101">
        <f t="shared" si="29"/>
        <v>8.5942335728448173E-5</v>
      </c>
      <c r="E139" s="1027">
        <f t="shared" si="30"/>
        <v>5.1364674860893356E-6</v>
      </c>
      <c r="G139" s="1007" t="str">
        <f t="shared" si="31"/>
        <v>Cinta Adhesivo</v>
      </c>
      <c r="H139" s="1063">
        <f t="shared" si="32"/>
        <v>6.5292562076339086E-2</v>
      </c>
      <c r="I139" s="1063">
        <f t="shared" si="33"/>
        <v>0.10836416546564945</v>
      </c>
      <c r="J139" s="1027">
        <f t="shared" si="34"/>
        <v>4.3071603389310362E-2</v>
      </c>
    </row>
    <row r="140" spans="2:10" ht="14.25" customHeight="1">
      <c r="B140" s="896" t="s">
        <v>1455</v>
      </c>
      <c r="C140" s="1101">
        <f t="shared" si="28"/>
        <v>1.8213193443056085E-6</v>
      </c>
      <c r="D140" s="1101">
        <f t="shared" si="29"/>
        <v>1.5702010181811483E-6</v>
      </c>
      <c r="E140" s="1027">
        <f t="shared" si="30"/>
        <v>-2.5111832612446027E-7</v>
      </c>
      <c r="G140" s="1007" t="str">
        <f t="shared" si="31"/>
        <v>Logo Adhesivo</v>
      </c>
      <c r="H140" s="1063">
        <f t="shared" si="32"/>
        <v>3.4074399241681187E-3</v>
      </c>
      <c r="I140" s="1063">
        <f t="shared" si="33"/>
        <v>6.7727603416030905E-3</v>
      </c>
      <c r="J140" s="1027">
        <f t="shared" si="34"/>
        <v>3.3653204174349718E-3</v>
      </c>
    </row>
    <row r="141" spans="2:10" ht="14.25" customHeight="1">
      <c r="G141" s="1007" t="str">
        <f t="shared" si="31"/>
        <v>Valija Cuero</v>
      </c>
      <c r="H141" s="1063">
        <f t="shared" si="32"/>
        <v>5.7519549499688313E-6</v>
      </c>
      <c r="I141" s="1063">
        <f t="shared" si="33"/>
        <v>7.276754746741393E-6</v>
      </c>
      <c r="J141" s="1027">
        <f t="shared" si="34"/>
        <v>1.5247997967725617E-6</v>
      </c>
    </row>
    <row r="142" spans="2:10" ht="14.25" customHeight="1">
      <c r="G142" s="1098" t="s">
        <v>1449</v>
      </c>
      <c r="H142" s="1100">
        <f t="shared" ref="H142:I142" si="35">SUM(H136:H141)</f>
        <v>1</v>
      </c>
      <c r="I142" s="1100">
        <f t="shared" si="35"/>
        <v>0.99993775222242964</v>
      </c>
      <c r="J142" s="1100"/>
    </row>
    <row r="145" spans="2:12" ht="13.2">
      <c r="B145" s="1532" t="s">
        <v>468</v>
      </c>
      <c r="C145" s="1434"/>
      <c r="D145" s="1434"/>
      <c r="E145" s="1434"/>
      <c r="F145" s="1434"/>
      <c r="G145" s="1434"/>
      <c r="H145" s="1434"/>
      <c r="I145" s="1434"/>
      <c r="J145" s="1434"/>
      <c r="K145" s="1434"/>
      <c r="L145" s="1435"/>
    </row>
    <row r="146" spans="2:12" ht="14.4">
      <c r="B146" s="934"/>
      <c r="C146" s="935">
        <v>2021</v>
      </c>
      <c r="D146" s="935">
        <v>2022</v>
      </c>
      <c r="E146" s="935" t="s">
        <v>469</v>
      </c>
      <c r="F146" s="935" t="s">
        <v>257</v>
      </c>
      <c r="G146" s="1533" t="s">
        <v>496</v>
      </c>
      <c r="H146" s="1434"/>
      <c r="I146" s="1434"/>
      <c r="J146" s="1434"/>
      <c r="K146" s="1434"/>
      <c r="L146" s="1435"/>
    </row>
    <row r="147" spans="2:12" ht="14.4">
      <c r="B147" s="1104" t="s">
        <v>1456</v>
      </c>
      <c r="C147" s="1105">
        <f t="shared" ref="C147:C149" si="36">H62</f>
        <v>2016.42</v>
      </c>
      <c r="D147" s="1105">
        <f t="shared" ref="D147:D149" si="37">H27</f>
        <v>1092.9002730000002</v>
      </c>
      <c r="E147" s="1105">
        <f t="shared" ref="E147:E169" si="38">D147-C147</f>
        <v>-923.51972699999988</v>
      </c>
      <c r="F147" s="1106">
        <f t="shared" ref="F147:F169" si="39">E147/C147</f>
        <v>-0.45799968607730523</v>
      </c>
      <c r="G147" s="1554" t="s">
        <v>1457</v>
      </c>
      <c r="H147" s="1434"/>
      <c r="I147" s="1434"/>
      <c r="J147" s="1434"/>
      <c r="K147" s="1434"/>
      <c r="L147" s="1435"/>
    </row>
    <row r="148" spans="2:12" ht="14.4">
      <c r="B148" s="1107" t="s">
        <v>1458</v>
      </c>
      <c r="C148" s="1108">
        <f t="shared" si="36"/>
        <v>846.61999999999989</v>
      </c>
      <c r="D148" s="1108">
        <f t="shared" si="37"/>
        <v>294.02339999999998</v>
      </c>
      <c r="E148" s="1108">
        <f t="shared" si="38"/>
        <v>-552.59659999999985</v>
      </c>
      <c r="F148" s="1109">
        <f t="shared" si="39"/>
        <v>-0.65270912569984163</v>
      </c>
      <c r="G148" s="1555" t="s">
        <v>1459</v>
      </c>
      <c r="H148" s="1434"/>
      <c r="I148" s="1434"/>
      <c r="J148" s="1434"/>
      <c r="K148" s="1434"/>
      <c r="L148" s="1435"/>
    </row>
    <row r="149" spans="2:12" ht="14.4">
      <c r="B149" s="1107" t="s">
        <v>1460</v>
      </c>
      <c r="C149" s="1108">
        <f t="shared" si="36"/>
        <v>1169.8000000000002</v>
      </c>
      <c r="D149" s="1108">
        <f t="shared" si="37"/>
        <v>798.87687299999982</v>
      </c>
      <c r="E149" s="1108">
        <f t="shared" si="38"/>
        <v>-370.92312700000036</v>
      </c>
      <c r="F149" s="1109">
        <f t="shared" si="39"/>
        <v>-0.31708251581466945</v>
      </c>
      <c r="G149" s="1555" t="s">
        <v>1461</v>
      </c>
      <c r="H149" s="1434"/>
      <c r="I149" s="1434"/>
      <c r="J149" s="1434"/>
      <c r="K149" s="1434"/>
      <c r="L149" s="1435"/>
    </row>
    <row r="150" spans="2:12" ht="14.25" customHeight="1">
      <c r="B150" s="1104" t="s">
        <v>1462</v>
      </c>
      <c r="C150" s="1105">
        <f t="shared" ref="C150:C152" si="40">I62</f>
        <v>2443832537</v>
      </c>
      <c r="D150" s="1105">
        <f t="shared" ref="D150:D152" si="41">I27</f>
        <v>1414411112</v>
      </c>
      <c r="E150" s="1105">
        <f t="shared" si="38"/>
        <v>-1029421425</v>
      </c>
      <c r="F150" s="1106">
        <f t="shared" si="39"/>
        <v>-0.42123239191491296</v>
      </c>
      <c r="G150" s="1554" t="s">
        <v>1463</v>
      </c>
      <c r="H150" s="1434"/>
      <c r="I150" s="1434"/>
      <c r="J150" s="1434"/>
      <c r="K150" s="1434"/>
      <c r="L150" s="1435"/>
    </row>
    <row r="151" spans="2:12" ht="14.25" customHeight="1">
      <c r="B151" s="1107" t="s">
        <v>1464</v>
      </c>
      <c r="C151" s="1108">
        <f t="shared" si="40"/>
        <v>1204825029</v>
      </c>
      <c r="D151" s="1108">
        <f t="shared" si="41"/>
        <v>647791306</v>
      </c>
      <c r="E151" s="1108">
        <f t="shared" si="38"/>
        <v>-557033723</v>
      </c>
      <c r="F151" s="1109">
        <f t="shared" si="39"/>
        <v>-0.46233578286660909</v>
      </c>
      <c r="G151" s="1555" t="s">
        <v>1465</v>
      </c>
      <c r="H151" s="1434"/>
      <c r="I151" s="1434"/>
      <c r="J151" s="1434"/>
      <c r="K151" s="1434"/>
      <c r="L151" s="1435"/>
    </row>
    <row r="152" spans="2:12" ht="14.25" customHeight="1">
      <c r="B152" s="1107" t="s">
        <v>1466</v>
      </c>
      <c r="C152" s="1108">
        <f t="shared" si="40"/>
        <v>1239007508</v>
      </c>
      <c r="D152" s="1108">
        <f t="shared" si="41"/>
        <v>766619806</v>
      </c>
      <c r="E152" s="1108">
        <f t="shared" si="38"/>
        <v>-472387702</v>
      </c>
      <c r="F152" s="1109">
        <f t="shared" si="39"/>
        <v>-0.38126298585754814</v>
      </c>
      <c r="G152" s="1555" t="s">
        <v>1467</v>
      </c>
      <c r="H152" s="1434"/>
      <c r="I152" s="1434"/>
      <c r="J152" s="1434"/>
      <c r="K152" s="1434"/>
      <c r="L152" s="1435"/>
    </row>
    <row r="153" spans="2:12" ht="14.25" customHeight="1">
      <c r="B153" s="1104" t="s">
        <v>1468</v>
      </c>
      <c r="C153" s="1110">
        <f t="shared" ref="C153:D153" si="42">C159/C147</f>
        <v>2.092947370675466</v>
      </c>
      <c r="D153" s="1110">
        <f t="shared" si="42"/>
        <v>1.3899528058798172</v>
      </c>
      <c r="E153" s="1111">
        <f t="shared" si="38"/>
        <v>-0.70299456479564881</v>
      </c>
      <c r="F153" s="1106">
        <f t="shared" si="39"/>
        <v>-0.33588735896821348</v>
      </c>
      <c r="G153" s="1554" t="s">
        <v>1469</v>
      </c>
      <c r="H153" s="1434"/>
      <c r="I153" s="1434"/>
      <c r="J153" s="1434"/>
      <c r="K153" s="1434"/>
      <c r="L153" s="1435"/>
    </row>
    <row r="154" spans="2:12" ht="14.25" customHeight="1">
      <c r="B154" s="1107" t="s">
        <v>1470</v>
      </c>
      <c r="C154" s="1112">
        <f t="shared" ref="C154:D154" si="43">C161/C148</f>
        <v>2.3304367816135265</v>
      </c>
      <c r="D154" s="1112">
        <f t="shared" si="43"/>
        <v>2.4823758971790548</v>
      </c>
      <c r="E154" s="1113">
        <f t="shared" si="38"/>
        <v>0.1519391155655283</v>
      </c>
      <c r="F154" s="1109">
        <f t="shared" si="39"/>
        <v>6.5197698888158684E-2</v>
      </c>
      <c r="G154" s="1555"/>
      <c r="H154" s="1434"/>
      <c r="I154" s="1434"/>
      <c r="J154" s="1434"/>
      <c r="K154" s="1434"/>
      <c r="L154" s="1435"/>
    </row>
    <row r="155" spans="2:12" ht="14.25" customHeight="1">
      <c r="B155" s="1107" t="s">
        <v>1471</v>
      </c>
      <c r="C155" s="1112">
        <f t="shared" ref="C155:D155" si="44">C160/C149</f>
        <v>1.921069028148213</v>
      </c>
      <c r="D155" s="1112">
        <f t="shared" si="44"/>
        <v>0.98794777957337176</v>
      </c>
      <c r="E155" s="1113">
        <f t="shared" si="38"/>
        <v>-0.93312124857484124</v>
      </c>
      <c r="F155" s="1109">
        <f t="shared" si="39"/>
        <v>-0.48573020276856482</v>
      </c>
      <c r="G155" s="1555" t="s">
        <v>1472</v>
      </c>
      <c r="H155" s="1434"/>
      <c r="I155" s="1434"/>
      <c r="J155" s="1434"/>
      <c r="K155" s="1434"/>
      <c r="L155" s="1435"/>
    </row>
    <row r="156" spans="2:12" ht="14.25" customHeight="1">
      <c r="B156" s="1104" t="s">
        <v>1473</v>
      </c>
      <c r="C156" s="1110">
        <f>C149*1000/C173</f>
        <v>3.5509656149478354E-2</v>
      </c>
      <c r="D156" s="1110">
        <f>D149*1000/C174</f>
        <v>4.1813242646199053E-2</v>
      </c>
      <c r="E156" s="1110">
        <f t="shared" si="38"/>
        <v>6.3035864967206992E-3</v>
      </c>
      <c r="F156" s="1106">
        <f t="shared" si="39"/>
        <v>0.17751753129305647</v>
      </c>
      <c r="G156" s="1554"/>
      <c r="H156" s="1434"/>
      <c r="I156" s="1434"/>
      <c r="J156" s="1434"/>
      <c r="K156" s="1434"/>
      <c r="L156" s="1435"/>
    </row>
    <row r="157" spans="2:12" ht="14.25" customHeight="1">
      <c r="B157" s="1104" t="s">
        <v>1474</v>
      </c>
      <c r="C157" s="1110">
        <f>C148*1000/C173</f>
        <v>2.5699423054600237E-2</v>
      </c>
      <c r="D157" s="1110">
        <f>D148*1000/C174</f>
        <v>1.5389194734969433E-2</v>
      </c>
      <c r="E157" s="1110">
        <f t="shared" si="38"/>
        <v>-1.0310228319630804E-2</v>
      </c>
      <c r="F157" s="1106">
        <f t="shared" si="39"/>
        <v>-0.40118520550932202</v>
      </c>
      <c r="G157" s="1554"/>
      <c r="H157" s="1434"/>
      <c r="I157" s="1434"/>
      <c r="J157" s="1434"/>
      <c r="K157" s="1434"/>
      <c r="L157" s="1435"/>
    </row>
    <row r="158" spans="2:12" ht="14.25" customHeight="1">
      <c r="B158" s="1104" t="s">
        <v>1475</v>
      </c>
      <c r="C158" s="1110">
        <f>C147*1000/C173</f>
        <v>6.1209079204078587E-2</v>
      </c>
      <c r="D158" s="1110">
        <f>D147*1000/C174</f>
        <v>5.7202437381168508E-2</v>
      </c>
      <c r="E158" s="1110">
        <f t="shared" si="38"/>
        <v>-4.0066418229100786E-3</v>
      </c>
      <c r="F158" s="1106">
        <f t="shared" si="39"/>
        <v>-6.5458292707711599E-2</v>
      </c>
      <c r="G158" s="1554"/>
      <c r="H158" s="1434"/>
      <c r="I158" s="1434"/>
      <c r="J158" s="1434"/>
      <c r="K158" s="1434"/>
      <c r="L158" s="1435"/>
    </row>
    <row r="159" spans="2:12" ht="33.75" customHeight="1">
      <c r="B159" s="1104" t="s">
        <v>1476</v>
      </c>
      <c r="C159" s="1105">
        <f>L62</f>
        <v>4220.2609371774233</v>
      </c>
      <c r="D159" s="1105">
        <f>L27</f>
        <v>1519.0798010031685</v>
      </c>
      <c r="E159" s="1105">
        <f t="shared" si="38"/>
        <v>-2701.1811361742548</v>
      </c>
      <c r="F159" s="1106">
        <f t="shared" si="39"/>
        <v>-0.64005074008074181</v>
      </c>
      <c r="G159" s="1554" t="s">
        <v>331</v>
      </c>
      <c r="H159" s="1434"/>
      <c r="I159" s="1434"/>
      <c r="J159" s="1434"/>
      <c r="K159" s="1434"/>
      <c r="L159" s="1435"/>
    </row>
    <row r="160" spans="2:12" ht="14.25" customHeight="1">
      <c r="B160" s="1107" t="s">
        <v>1477</v>
      </c>
      <c r="C160" s="1108">
        <f>L64</f>
        <v>2247.2665491277799</v>
      </c>
      <c r="D160" s="1108">
        <f>L29</f>
        <v>789.24863283286834</v>
      </c>
      <c r="E160" s="1108">
        <f t="shared" si="38"/>
        <v>-1458.0179162949116</v>
      </c>
      <c r="F160" s="1109">
        <f t="shared" si="39"/>
        <v>-0.64879616388220829</v>
      </c>
      <c r="G160" s="1555"/>
      <c r="H160" s="1434"/>
      <c r="I160" s="1434"/>
      <c r="J160" s="1434"/>
      <c r="K160" s="1434"/>
      <c r="L160" s="1435"/>
    </row>
    <row r="161" spans="2:12" ht="14.25" customHeight="1">
      <c r="B161" s="1107" t="s">
        <v>1478</v>
      </c>
      <c r="C161" s="1108">
        <f>L63</f>
        <v>1972.9943880496435</v>
      </c>
      <c r="D161" s="1108">
        <f>L28</f>
        <v>729.87660136663601</v>
      </c>
      <c r="E161" s="1108">
        <f t="shared" si="38"/>
        <v>-1243.1177866830076</v>
      </c>
      <c r="F161" s="1109">
        <f t="shared" si="39"/>
        <v>-0.63006655985061466</v>
      </c>
      <c r="G161" s="1555"/>
      <c r="H161" s="1434"/>
      <c r="I161" s="1434"/>
      <c r="J161" s="1434"/>
      <c r="K161" s="1434"/>
      <c r="L161" s="1435"/>
    </row>
    <row r="162" spans="2:12" ht="32.25" customHeight="1">
      <c r="B162" s="1104" t="s">
        <v>1479</v>
      </c>
      <c r="C162" s="1110">
        <f>C159*1000/C173</f>
        <v>0.12810738138164263</v>
      </c>
      <c r="D162" s="1110">
        <f>D159*1000/C174</f>
        <v>7.950868834111971E-2</v>
      </c>
      <c r="E162" s="1110">
        <f t="shared" si="38"/>
        <v>-4.8598693040522917E-2</v>
      </c>
      <c r="F162" s="1106">
        <f t="shared" si="39"/>
        <v>-0.37935903861576359</v>
      </c>
      <c r="G162" s="1554" t="s">
        <v>332</v>
      </c>
      <c r="H162" s="1434"/>
      <c r="I162" s="1434"/>
      <c r="J162" s="1434"/>
      <c r="K162" s="1434"/>
      <c r="L162" s="1435"/>
    </row>
    <row r="163" spans="2:12" ht="14.25" customHeight="1">
      <c r="B163" s="1107" t="s">
        <v>1480</v>
      </c>
      <c r="C163" s="1112">
        <f t="shared" ref="C163:C164" si="45">C160*1000/C173</f>
        <v>6.8216500628955595E-2</v>
      </c>
      <c r="D163" s="1112">
        <f>D160*1000/C174</f>
        <v>4.1309300229074974E-2</v>
      </c>
      <c r="E163" s="1112">
        <f t="shared" si="38"/>
        <v>-2.6907200399880621E-2</v>
      </c>
      <c r="F163" s="1109">
        <f t="shared" si="39"/>
        <v>-0.39443829794545965</v>
      </c>
      <c r="G163" s="1555"/>
      <c r="H163" s="1434"/>
      <c r="I163" s="1434"/>
      <c r="J163" s="1434"/>
      <c r="K163" s="1434"/>
      <c r="L163" s="1435"/>
    </row>
    <row r="164" spans="2:12" ht="14.25" customHeight="1">
      <c r="B164" s="1107" t="s">
        <v>1481</v>
      </c>
      <c r="C164" s="1112">
        <f t="shared" si="45"/>
        <v>0.10326659323270805</v>
      </c>
      <c r="D164" s="1112">
        <f>D161*1000/C174</f>
        <v>3.8201766087082929E-2</v>
      </c>
      <c r="E164" s="1112">
        <f t="shared" si="38"/>
        <v>-6.5064827145625115E-2</v>
      </c>
      <c r="F164" s="1109">
        <f t="shared" si="39"/>
        <v>-0.63006655985061455</v>
      </c>
      <c r="G164" s="1555"/>
      <c r="H164" s="1434"/>
      <c r="I164" s="1434"/>
      <c r="J164" s="1434"/>
      <c r="K164" s="1434"/>
      <c r="L164" s="1435"/>
    </row>
    <row r="165" spans="2:12" ht="14.25" customHeight="1">
      <c r="B165" s="1104" t="s">
        <v>1482</v>
      </c>
      <c r="C165" s="1114">
        <f>C80</f>
        <v>0.99761747871773188</v>
      </c>
      <c r="D165" s="1114">
        <f>C41</f>
        <v>0.99760009679926609</v>
      </c>
      <c r="E165" s="1110">
        <f t="shared" si="38"/>
        <v>-1.7381918465786406E-5</v>
      </c>
      <c r="F165" s="1114">
        <f t="shared" si="39"/>
        <v>-1.7423430158950217E-5</v>
      </c>
      <c r="G165" s="1554" t="s">
        <v>1483</v>
      </c>
      <c r="H165" s="1434"/>
      <c r="I165" s="1434"/>
      <c r="J165" s="1434"/>
      <c r="K165" s="1434"/>
      <c r="L165" s="1435"/>
    </row>
    <row r="166" spans="2:12" ht="14.25" customHeight="1">
      <c r="B166" s="1107" t="s">
        <v>1484</v>
      </c>
      <c r="C166" s="1108">
        <f>J80</f>
        <v>-454.95078830259712</v>
      </c>
      <c r="D166" s="1108">
        <f>J42</f>
        <v>-149.55845020258568</v>
      </c>
      <c r="E166" s="1108">
        <f t="shared" si="38"/>
        <v>305.39233810001144</v>
      </c>
      <c r="F166" s="1109">
        <f t="shared" si="39"/>
        <v>-0.6712645542156721</v>
      </c>
      <c r="G166" s="1555" t="s">
        <v>1485</v>
      </c>
      <c r="H166" s="1434"/>
      <c r="I166" s="1434"/>
      <c r="J166" s="1434"/>
      <c r="K166" s="1434"/>
      <c r="L166" s="1435"/>
    </row>
    <row r="167" spans="2:12" ht="14.25" customHeight="1">
      <c r="B167" s="1107" t="s">
        <v>1486</v>
      </c>
      <c r="C167" s="1108">
        <f t="shared" ref="C167:C168" si="46">J53</f>
        <v>732.38897705600004</v>
      </c>
      <c r="D167" s="1108">
        <f t="shared" ref="D167:D169" si="47">J16</f>
        <v>375.35469692160001</v>
      </c>
      <c r="E167" s="1108">
        <f t="shared" si="38"/>
        <v>-357.03428013440003</v>
      </c>
      <c r="F167" s="1109">
        <f t="shared" si="39"/>
        <v>-0.48749270035381814</v>
      </c>
      <c r="G167" s="1555" t="s">
        <v>1487</v>
      </c>
      <c r="H167" s="1434"/>
      <c r="I167" s="1434"/>
      <c r="J167" s="1434"/>
      <c r="K167" s="1434"/>
      <c r="L167" s="1435"/>
    </row>
    <row r="168" spans="2:12" ht="14.25" customHeight="1">
      <c r="B168" s="1107" t="s">
        <v>1488</v>
      </c>
      <c r="C168" s="1108">
        <f t="shared" si="46"/>
        <v>655.33255976099997</v>
      </c>
      <c r="D168" s="1108">
        <f t="shared" si="47"/>
        <v>154.56825362176002</v>
      </c>
      <c r="E168" s="1108">
        <f t="shared" si="38"/>
        <v>-500.76430613923992</v>
      </c>
      <c r="F168" s="1109">
        <f t="shared" si="39"/>
        <v>-0.76413768655393655</v>
      </c>
      <c r="G168" s="1555" t="s">
        <v>1487</v>
      </c>
      <c r="H168" s="1434"/>
      <c r="I168" s="1434"/>
      <c r="J168" s="1434"/>
      <c r="K168" s="1434"/>
      <c r="L168" s="1435"/>
    </row>
    <row r="169" spans="2:12" ht="14.25" customHeight="1">
      <c r="B169" s="1107" t="s">
        <v>1489</v>
      </c>
      <c r="C169" s="1108">
        <f>J56</f>
        <v>143.353110208</v>
      </c>
      <c r="D169" s="1108">
        <f t="shared" si="47"/>
        <v>98.774376157212785</v>
      </c>
      <c r="E169" s="1108">
        <f t="shared" si="38"/>
        <v>-44.578734050787219</v>
      </c>
      <c r="F169" s="1109">
        <f t="shared" si="39"/>
        <v>-0.31097151632151643</v>
      </c>
      <c r="G169" s="1555" t="s">
        <v>1487</v>
      </c>
      <c r="H169" s="1434"/>
      <c r="I169" s="1434"/>
      <c r="J169" s="1434"/>
      <c r="K169" s="1434"/>
      <c r="L169" s="1435"/>
    </row>
    <row r="170" spans="2:12" ht="14.25" customHeight="1">
      <c r="B170" s="654"/>
      <c r="C170" s="654"/>
      <c r="D170" s="654"/>
      <c r="E170" s="654"/>
      <c r="F170" s="654"/>
      <c r="G170" s="654"/>
      <c r="H170" s="654"/>
      <c r="I170" s="654"/>
      <c r="J170" s="654"/>
      <c r="K170" s="654"/>
      <c r="L170" s="654"/>
    </row>
    <row r="171" spans="2:12" ht="14.25" customHeight="1">
      <c r="B171" s="431"/>
      <c r="C171" s="431"/>
      <c r="D171" s="431"/>
      <c r="E171" s="431"/>
      <c r="F171" s="431"/>
      <c r="G171" s="431"/>
      <c r="H171" s="431"/>
      <c r="I171" s="431"/>
      <c r="J171" s="431"/>
      <c r="K171" s="431"/>
      <c r="L171" s="431"/>
    </row>
    <row r="172" spans="2:12" ht="14.25" customHeight="1">
      <c r="B172" s="1449" t="s">
        <v>227</v>
      </c>
      <c r="C172" s="1393"/>
      <c r="D172" s="1115"/>
      <c r="E172" s="431"/>
      <c r="F172" s="1108">
        <f>46%*C159</f>
        <v>1941.3200311016149</v>
      </c>
      <c r="G172" s="1109">
        <f>F172/C159</f>
        <v>0.46</v>
      </c>
      <c r="H172" s="431"/>
      <c r="I172" s="431"/>
      <c r="J172" s="431"/>
      <c r="K172" s="431"/>
      <c r="L172" s="431"/>
    </row>
    <row r="173" spans="2:12" ht="14.25" customHeight="1">
      <c r="B173" s="426">
        <v>2021</v>
      </c>
      <c r="C173" s="427">
        <v>32943152</v>
      </c>
      <c r="F173" s="431"/>
      <c r="G173" s="431"/>
      <c r="H173" s="431"/>
      <c r="I173" s="431"/>
      <c r="J173" s="431"/>
      <c r="K173" s="431"/>
      <c r="L173" s="431"/>
    </row>
    <row r="174" spans="2:12" ht="14.25" customHeight="1">
      <c r="B174" s="426">
        <v>2022</v>
      </c>
      <c r="C174" s="427">
        <v>19105834</v>
      </c>
      <c r="D174" s="1115"/>
      <c r="E174" s="431"/>
      <c r="F174" s="431"/>
      <c r="G174" s="431"/>
      <c r="H174" s="431"/>
      <c r="I174" s="431"/>
      <c r="J174" s="431"/>
      <c r="K174" s="431"/>
      <c r="L174" s="431"/>
    </row>
  </sheetData>
  <mergeCells count="52">
    <mergeCell ref="G167:L167"/>
    <mergeCell ref="G168:L168"/>
    <mergeCell ref="G169:L169"/>
    <mergeCell ref="B172:C172"/>
    <mergeCell ref="G158:L158"/>
    <mergeCell ref="G159:L159"/>
    <mergeCell ref="G160:L160"/>
    <mergeCell ref="G161:L161"/>
    <mergeCell ref="G162:L162"/>
    <mergeCell ref="G163:L163"/>
    <mergeCell ref="G164:L164"/>
    <mergeCell ref="G155:L155"/>
    <mergeCell ref="G156:L156"/>
    <mergeCell ref="G157:L157"/>
    <mergeCell ref="G165:L165"/>
    <mergeCell ref="G166:L166"/>
    <mergeCell ref="G150:L150"/>
    <mergeCell ref="G151:L151"/>
    <mergeCell ref="G152:L152"/>
    <mergeCell ref="G153:L153"/>
    <mergeCell ref="G154:L154"/>
    <mergeCell ref="B145:L145"/>
    <mergeCell ref="G146:L146"/>
    <mergeCell ref="G147:L147"/>
    <mergeCell ref="G148:L148"/>
    <mergeCell ref="G149:L149"/>
    <mergeCell ref="C101:C105"/>
    <mergeCell ref="D101:D105"/>
    <mergeCell ref="E101:E105"/>
    <mergeCell ref="B107:H107"/>
    <mergeCell ref="B120:K120"/>
    <mergeCell ref="B83:L83"/>
    <mergeCell ref="B85:L85"/>
    <mergeCell ref="E94:E98"/>
    <mergeCell ref="F94:F97"/>
    <mergeCell ref="F101:F104"/>
    <mergeCell ref="B87:B91"/>
    <mergeCell ref="C87:C91"/>
    <mergeCell ref="D87:D91"/>
    <mergeCell ref="E87:E91"/>
    <mergeCell ref="F87:F90"/>
    <mergeCell ref="B92:L92"/>
    <mergeCell ref="B94:B98"/>
    <mergeCell ref="B99:L99"/>
    <mergeCell ref="C94:C98"/>
    <mergeCell ref="D94:D98"/>
    <mergeCell ref="B101:B105"/>
    <mergeCell ref="B3:K4"/>
    <mergeCell ref="B8:H8"/>
    <mergeCell ref="B31:L31"/>
    <mergeCell ref="B45:H45"/>
    <mergeCell ref="B66:L66"/>
  </mergeCells>
  <pageMargins left="0.7" right="0.7" top="0.75" bottom="0.75" header="0" footer="0"/>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FF"/>
  </sheetPr>
  <dimension ref="A1:Y107"/>
  <sheetViews>
    <sheetView showGridLines="0" workbookViewId="0"/>
  </sheetViews>
  <sheetFormatPr baseColWidth="10" defaultColWidth="12.6640625" defaultRowHeight="15" customHeight="1"/>
  <cols>
    <col min="1" max="1" width="3.44140625" customWidth="1"/>
    <col min="2" max="2" width="19.88671875" customWidth="1"/>
    <col min="3" max="3" width="26" customWidth="1"/>
    <col min="4" max="4" width="21.44140625" customWidth="1"/>
    <col min="5" max="5" width="11.44140625" customWidth="1"/>
    <col min="6" max="6" width="7.6640625" customWidth="1"/>
    <col min="7" max="7" width="9.109375" customWidth="1"/>
    <col min="8" max="8" width="22.44140625" customWidth="1"/>
    <col min="9" max="9" width="15.33203125" customWidth="1"/>
    <col min="10" max="10" width="7.77734375" customWidth="1"/>
    <col min="11" max="11" width="17.88671875" customWidth="1"/>
    <col min="12" max="12" width="8.88671875" customWidth="1"/>
    <col min="13" max="13" width="36.33203125" customWidth="1"/>
    <col min="14" max="15" width="9.21875" customWidth="1"/>
    <col min="16" max="16" width="20.44140625" customWidth="1"/>
    <col min="17" max="17" width="12" customWidth="1"/>
    <col min="18" max="18" width="10.88671875" customWidth="1"/>
    <col min="19" max="27" width="8.6640625" customWidth="1"/>
    <col min="28" max="28" width="14.44140625" customWidth="1"/>
  </cols>
  <sheetData>
    <row r="1" spans="1:25" ht="14.25" customHeight="1">
      <c r="A1" s="534" t="s">
        <v>1490</v>
      </c>
      <c r="B1" s="429"/>
      <c r="C1" s="429"/>
      <c r="D1" s="429"/>
      <c r="E1" s="429"/>
      <c r="F1" s="429"/>
      <c r="G1" s="429"/>
      <c r="H1" s="429"/>
      <c r="I1" s="589"/>
      <c r="J1" s="589"/>
      <c r="K1" s="429"/>
      <c r="L1" s="429"/>
      <c r="M1" s="429"/>
      <c r="N1" s="429"/>
      <c r="O1" s="429"/>
      <c r="P1" s="429"/>
      <c r="Q1" s="429"/>
      <c r="R1" s="429"/>
      <c r="S1" s="429"/>
      <c r="T1" s="429"/>
      <c r="U1" s="429"/>
      <c r="V1" s="429"/>
      <c r="W1" s="429"/>
      <c r="X1" s="429"/>
      <c r="Y1" s="429"/>
    </row>
    <row r="2" spans="1:25" ht="14.25" customHeight="1">
      <c r="A2" s="431"/>
      <c r="B2" s="431"/>
      <c r="C2" s="431"/>
      <c r="D2" s="431"/>
      <c r="E2" s="431"/>
      <c r="F2" s="431"/>
      <c r="G2" s="431"/>
      <c r="H2" s="431"/>
      <c r="I2" s="591"/>
      <c r="J2" s="591"/>
      <c r="K2" s="431"/>
      <c r="L2" s="431"/>
      <c r="M2" s="431"/>
      <c r="N2" s="431"/>
      <c r="O2" s="431"/>
      <c r="P2" s="431"/>
      <c r="Q2" s="431"/>
      <c r="R2" s="431"/>
      <c r="S2" s="431"/>
      <c r="T2" s="431"/>
      <c r="U2" s="431"/>
      <c r="V2" s="431"/>
      <c r="W2" s="431"/>
      <c r="X2" s="431"/>
      <c r="Y2" s="431"/>
    </row>
    <row r="3" spans="1:25" ht="14.25" customHeight="1">
      <c r="A3" s="431"/>
      <c r="B3" s="1450" t="s">
        <v>1491</v>
      </c>
      <c r="C3" s="1451"/>
      <c r="D3" s="1451"/>
      <c r="E3" s="1451"/>
      <c r="F3" s="1451"/>
      <c r="G3" s="1451"/>
      <c r="H3" s="1451"/>
      <c r="I3" s="1451"/>
      <c r="J3" s="1451"/>
      <c r="K3" s="1451"/>
      <c r="L3" s="1451"/>
      <c r="M3" s="1451"/>
      <c r="N3" s="1451"/>
      <c r="O3" s="1452"/>
      <c r="P3" s="431"/>
      <c r="Q3" s="431"/>
      <c r="R3" s="1449" t="s">
        <v>227</v>
      </c>
      <c r="S3" s="1393"/>
      <c r="T3" s="431"/>
      <c r="U3" s="431"/>
      <c r="V3" s="431"/>
      <c r="W3" s="431"/>
      <c r="X3" s="431"/>
      <c r="Y3" s="431"/>
    </row>
    <row r="4" spans="1:25" ht="14.25" customHeight="1">
      <c r="A4" s="431"/>
      <c r="B4" s="1471"/>
      <c r="C4" s="1396"/>
      <c r="D4" s="1396"/>
      <c r="E4" s="1396"/>
      <c r="F4" s="1396"/>
      <c r="G4" s="1396"/>
      <c r="H4" s="1396"/>
      <c r="I4" s="1396"/>
      <c r="J4" s="1396"/>
      <c r="K4" s="1396"/>
      <c r="L4" s="1396"/>
      <c r="M4" s="1396"/>
      <c r="N4" s="1396"/>
      <c r="O4" s="1472"/>
      <c r="P4" s="431"/>
      <c r="Q4" s="431"/>
      <c r="R4" s="426">
        <v>2021</v>
      </c>
      <c r="S4" s="427">
        <v>32943152</v>
      </c>
      <c r="T4" s="431"/>
      <c r="U4" s="431"/>
      <c r="V4" s="431"/>
      <c r="W4" s="431"/>
      <c r="X4" s="431"/>
      <c r="Y4" s="431"/>
    </row>
    <row r="5" spans="1:25" ht="14.25" customHeight="1">
      <c r="A5" s="431"/>
      <c r="B5" s="1453"/>
      <c r="C5" s="1454"/>
      <c r="D5" s="1454"/>
      <c r="E5" s="1454"/>
      <c r="F5" s="1454"/>
      <c r="G5" s="1454"/>
      <c r="H5" s="1454"/>
      <c r="I5" s="1454"/>
      <c r="J5" s="1454"/>
      <c r="K5" s="1454"/>
      <c r="L5" s="1454"/>
      <c r="M5" s="1454"/>
      <c r="N5" s="1454"/>
      <c r="O5" s="1455"/>
      <c r="P5" s="431"/>
      <c r="Q5" s="431"/>
      <c r="R5" s="426">
        <v>2022</v>
      </c>
      <c r="S5" s="427">
        <v>19105834</v>
      </c>
      <c r="T5" s="431"/>
      <c r="U5" s="431"/>
      <c r="V5" s="431"/>
      <c r="W5" s="431"/>
      <c r="X5" s="431"/>
      <c r="Y5" s="431"/>
    </row>
    <row r="6" spans="1:25" ht="13.5" customHeight="1">
      <c r="A6" s="431"/>
      <c r="B6" s="435"/>
      <c r="C6" s="435"/>
      <c r="D6" s="435"/>
      <c r="E6" s="435"/>
      <c r="F6" s="435"/>
      <c r="G6" s="435"/>
      <c r="H6" s="435"/>
      <c r="I6" s="435"/>
      <c r="J6" s="594"/>
      <c r="K6" s="435"/>
      <c r="L6" s="435"/>
      <c r="M6" s="435"/>
      <c r="N6" s="435"/>
      <c r="O6" s="435"/>
      <c r="P6" s="431"/>
      <c r="Q6" s="431"/>
      <c r="R6" s="431"/>
      <c r="S6" s="431"/>
      <c r="T6" s="431"/>
      <c r="U6" s="431"/>
      <c r="V6" s="431"/>
      <c r="W6" s="431"/>
      <c r="X6" s="431"/>
      <c r="Y6" s="431"/>
    </row>
    <row r="7" spans="1:25" ht="39" customHeight="1">
      <c r="A7" s="431"/>
      <c r="B7" s="438" t="s">
        <v>1492</v>
      </c>
      <c r="C7" s="535" t="s">
        <v>1493</v>
      </c>
      <c r="D7" s="440"/>
      <c r="E7" s="440"/>
      <c r="F7" s="440"/>
      <c r="G7" s="440"/>
      <c r="H7" s="440"/>
      <c r="I7" s="536"/>
      <c r="J7" s="1116"/>
      <c r="K7" s="536"/>
      <c r="L7" s="536"/>
      <c r="M7" s="536"/>
      <c r="N7" s="536"/>
      <c r="O7" s="536"/>
      <c r="P7" s="431"/>
      <c r="Q7" s="431"/>
      <c r="R7" s="431"/>
      <c r="S7" s="431"/>
      <c r="T7" s="431"/>
      <c r="U7" s="431"/>
      <c r="V7" s="431"/>
      <c r="W7" s="431"/>
      <c r="X7" s="431"/>
      <c r="Y7" s="431"/>
    </row>
    <row r="8" spans="1:25" ht="21.75" customHeight="1">
      <c r="A8" s="431"/>
      <c r="B8" s="438" t="s">
        <v>583</v>
      </c>
      <c r="C8" s="535" t="s">
        <v>1494</v>
      </c>
      <c r="D8" s="440"/>
      <c r="E8" s="440"/>
      <c r="F8" s="440"/>
      <c r="G8" s="440"/>
      <c r="H8" s="440"/>
      <c r="I8" s="440"/>
      <c r="J8" s="596"/>
      <c r="K8" s="440"/>
      <c r="L8" s="440"/>
      <c r="M8" s="440"/>
      <c r="N8" s="440"/>
      <c r="O8" s="440"/>
      <c r="P8" s="18"/>
      <c r="Q8" s="18"/>
      <c r="R8" s="431"/>
      <c r="S8" s="431"/>
      <c r="T8" s="431"/>
      <c r="U8" s="431"/>
      <c r="V8" s="431"/>
      <c r="W8" s="431"/>
      <c r="X8" s="431"/>
      <c r="Y8" s="431"/>
    </row>
    <row r="9" spans="1:25" ht="21.75" customHeight="1">
      <c r="A9" s="431"/>
      <c r="B9" s="438"/>
      <c r="C9" s="1556" t="s">
        <v>1495</v>
      </c>
      <c r="D9" s="1451"/>
      <c r="E9" s="1451"/>
      <c r="F9" s="1451"/>
      <c r="G9" s="1451"/>
      <c r="H9" s="1451"/>
      <c r="I9" s="1451"/>
      <c r="J9" s="1451"/>
      <c r="K9" s="1451"/>
      <c r="L9" s="1451"/>
      <c r="M9" s="1451"/>
      <c r="N9" s="1451"/>
      <c r="O9" s="1452"/>
      <c r="P9" s="431"/>
      <c r="Q9" s="431"/>
      <c r="R9" s="431"/>
      <c r="S9" s="431"/>
      <c r="T9" s="431"/>
      <c r="U9" s="431"/>
      <c r="V9" s="431"/>
      <c r="W9" s="431"/>
      <c r="X9" s="431"/>
      <c r="Y9" s="431"/>
    </row>
    <row r="10" spans="1:25" ht="21.75" customHeight="1">
      <c r="A10" s="431"/>
      <c r="B10" s="438"/>
      <c r="C10" s="1453"/>
      <c r="D10" s="1454"/>
      <c r="E10" s="1454"/>
      <c r="F10" s="1454"/>
      <c r="G10" s="1454"/>
      <c r="H10" s="1454"/>
      <c r="I10" s="1454"/>
      <c r="J10" s="1454"/>
      <c r="K10" s="1454"/>
      <c r="L10" s="1454"/>
      <c r="M10" s="1454"/>
      <c r="N10" s="1454"/>
      <c r="O10" s="1455"/>
      <c r="P10" s="18"/>
      <c r="Q10" s="18"/>
      <c r="R10" s="431"/>
      <c r="S10" s="431"/>
      <c r="T10" s="431"/>
      <c r="U10" s="431"/>
      <c r="V10" s="431"/>
      <c r="W10" s="431"/>
      <c r="X10" s="431"/>
      <c r="Y10" s="431"/>
    </row>
    <row r="11" spans="1:25" ht="14.25" customHeight="1">
      <c r="A11" s="431"/>
      <c r="B11" s="444"/>
      <c r="C11" s="444"/>
      <c r="D11" s="444"/>
      <c r="E11" s="444"/>
      <c r="F11" s="444"/>
      <c r="G11" s="444"/>
      <c r="H11" s="444"/>
      <c r="I11" s="622"/>
      <c r="J11" s="622"/>
      <c r="K11" s="444"/>
      <c r="L11" s="444"/>
      <c r="M11" s="444"/>
      <c r="N11" s="444"/>
      <c r="O11" s="444"/>
      <c r="P11" s="444"/>
      <c r="Q11" s="431"/>
      <c r="R11" s="431"/>
      <c r="S11" s="431"/>
      <c r="T11" s="431"/>
      <c r="U11" s="431"/>
      <c r="V11" s="431"/>
      <c r="W11" s="431"/>
      <c r="X11" s="431"/>
      <c r="Y11" s="431"/>
    </row>
    <row r="12" spans="1:25" ht="15" customHeight="1">
      <c r="A12" s="445"/>
      <c r="B12" s="1520">
        <v>2022</v>
      </c>
      <c r="C12" s="1434"/>
      <c r="D12" s="1434"/>
      <c r="E12" s="1434"/>
      <c r="F12" s="1434"/>
      <c r="G12" s="1434"/>
      <c r="H12" s="1434"/>
      <c r="I12" s="1434"/>
      <c r="J12" s="1434"/>
      <c r="K12" s="1434"/>
      <c r="L12" s="1434"/>
      <c r="M12" s="1435"/>
      <c r="N12" s="1117" t="s">
        <v>96</v>
      </c>
      <c r="O12" s="1117" t="s">
        <v>231</v>
      </c>
      <c r="P12" s="1117" t="s">
        <v>87</v>
      </c>
      <c r="Q12" s="1118"/>
      <c r="R12" s="431"/>
      <c r="S12" s="431"/>
      <c r="T12" s="431"/>
      <c r="U12" s="431"/>
      <c r="V12" s="431"/>
      <c r="W12" s="431"/>
      <c r="X12" s="431"/>
      <c r="Y12" s="431"/>
    </row>
    <row r="13" spans="1:25" ht="25.5" customHeight="1">
      <c r="A13" s="445"/>
      <c r="B13" s="1024" t="s">
        <v>113</v>
      </c>
      <c r="C13" s="1024" t="s">
        <v>1496</v>
      </c>
      <c r="D13" s="1024" t="s">
        <v>1497</v>
      </c>
      <c r="E13" s="1024" t="s">
        <v>1498</v>
      </c>
      <c r="F13" s="1024" t="s">
        <v>458</v>
      </c>
      <c r="G13" s="1024" t="s">
        <v>47</v>
      </c>
      <c r="H13" s="1024" t="s">
        <v>1499</v>
      </c>
      <c r="I13" s="1024" t="s">
        <v>1500</v>
      </c>
      <c r="J13" s="1024" t="s">
        <v>47</v>
      </c>
      <c r="K13" s="1024" t="s">
        <v>1501</v>
      </c>
      <c r="L13" s="1024" t="s">
        <v>1502</v>
      </c>
      <c r="M13" s="1024" t="s">
        <v>1503</v>
      </c>
      <c r="N13" s="1119" t="s">
        <v>437</v>
      </c>
      <c r="O13" s="1119" t="s">
        <v>437</v>
      </c>
      <c r="P13" s="1119" t="s">
        <v>437</v>
      </c>
      <c r="Q13" s="434"/>
      <c r="R13" s="431"/>
      <c r="S13" s="431"/>
      <c r="T13" s="431"/>
      <c r="U13" s="431"/>
      <c r="V13" s="431"/>
      <c r="W13" s="431"/>
      <c r="X13" s="431"/>
      <c r="Y13" s="431"/>
    </row>
    <row r="14" spans="1:25" ht="14.25" customHeight="1">
      <c r="A14" s="445"/>
      <c r="B14" s="896" t="s">
        <v>1504</v>
      </c>
      <c r="C14" s="896" t="s">
        <v>1505</v>
      </c>
      <c r="D14" s="896" t="s">
        <v>1506</v>
      </c>
      <c r="E14" s="1120">
        <f>232090/1000</f>
        <v>232.09</v>
      </c>
      <c r="F14" s="1033" t="s">
        <v>1507</v>
      </c>
      <c r="G14" s="1027">
        <f t="shared" ref="G14:G24" si="0">E14/$E$25</f>
        <v>0.28207340787554686</v>
      </c>
      <c r="H14" s="896" t="s">
        <v>1508</v>
      </c>
      <c r="I14" s="1121">
        <f t="shared" ref="I14:I24" si="1">IF(H14="Relleno sanitario",E14,0)</f>
        <v>232.09</v>
      </c>
      <c r="J14" s="1027">
        <f>I14/E25</f>
        <v>0.28207340787554686</v>
      </c>
      <c r="K14" s="896" t="s">
        <v>1508</v>
      </c>
      <c r="L14" s="1122">
        <v>11.5</v>
      </c>
      <c r="M14" s="896" t="str">
        <f t="shared" ref="M14:M16" si="2">+H14&amp;D14</f>
        <v>Relleno sanitarioResiduos domiciliarios</v>
      </c>
      <c r="N14" s="1123">
        <f>+E14*VLOOKUP(M14,'Factores Emisión EDGE'!$I$121:$L$165,4,FALSE)</f>
        <v>176.4197275082</v>
      </c>
      <c r="O14" s="1124">
        <f>+(E14/1000*L14*'Factores Emisión EDGE'!$L$236)</f>
        <v>0.35494810523004999</v>
      </c>
      <c r="P14" s="1124">
        <f t="shared" ref="P14:P25" si="3">SUM(N14:O14)</f>
        <v>176.77467561343005</v>
      </c>
      <c r="Q14" s="1118"/>
      <c r="S14" s="444"/>
      <c r="T14" s="444"/>
      <c r="U14" s="444"/>
      <c r="V14" s="444"/>
      <c r="W14" s="431"/>
      <c r="X14" s="444"/>
      <c r="Y14" s="444"/>
    </row>
    <row r="15" spans="1:25" ht="14.25" customHeight="1">
      <c r="A15" s="695"/>
      <c r="B15" s="1125" t="s">
        <v>1</v>
      </c>
      <c r="C15" s="1125" t="s">
        <v>1509</v>
      </c>
      <c r="D15" s="1125" t="s">
        <v>1506</v>
      </c>
      <c r="E15" s="1126">
        <f>135720/1000</f>
        <v>135.72</v>
      </c>
      <c r="F15" s="1127" t="s">
        <v>1507</v>
      </c>
      <c r="G15" s="1128">
        <f t="shared" si="0"/>
        <v>0.16494895478852695</v>
      </c>
      <c r="H15" s="1125" t="s">
        <v>1508</v>
      </c>
      <c r="I15" s="1126">
        <f t="shared" si="1"/>
        <v>135.72</v>
      </c>
      <c r="J15" s="1128">
        <f>I15/E25</f>
        <v>0.16494895478852695</v>
      </c>
      <c r="K15" s="1125" t="s">
        <v>1508</v>
      </c>
      <c r="L15" s="1125">
        <v>11.5</v>
      </c>
      <c r="M15" s="896" t="str">
        <f t="shared" si="2"/>
        <v>Relleno sanitarioResiduos domiciliarios</v>
      </c>
      <c r="N15" s="1123">
        <f>+E15*VLOOKUP(M15,'Factores Emisión EDGE'!$I$121:$L$165,4,FALSE)</f>
        <v>103.1655194856</v>
      </c>
      <c r="O15" s="1124">
        <f>+(E15/1000*L15*'Factores Emisión EDGE'!$L$236)</f>
        <v>0.2075641209954</v>
      </c>
      <c r="P15" s="1124">
        <f t="shared" si="3"/>
        <v>103.3730836065954</v>
      </c>
      <c r="Q15" s="531"/>
      <c r="R15" s="1557" t="s">
        <v>1510</v>
      </c>
      <c r="S15" s="1434"/>
      <c r="T15" s="1434"/>
      <c r="U15" s="1435"/>
      <c r="V15" s="1129">
        <f>2170*0.31*22*12/1000</f>
        <v>177.59280000000001</v>
      </c>
      <c r="W15" s="531" t="s">
        <v>1507</v>
      </c>
      <c r="X15" s="1130">
        <f>I15-V15</f>
        <v>-41.872800000000012</v>
      </c>
      <c r="Y15" s="1131" t="s">
        <v>1511</v>
      </c>
    </row>
    <row r="16" spans="1:25" ht="14.25" customHeight="1">
      <c r="A16" s="445"/>
      <c r="B16" s="896" t="s">
        <v>1504</v>
      </c>
      <c r="C16" s="896" t="s">
        <v>1343</v>
      </c>
      <c r="D16" s="896" t="s">
        <v>1344</v>
      </c>
      <c r="E16" s="1132">
        <f>156880/1000</f>
        <v>156.88</v>
      </c>
      <c r="F16" s="1033" t="s">
        <v>1507</v>
      </c>
      <c r="G16" s="1027">
        <f t="shared" si="0"/>
        <v>0.19066601847350506</v>
      </c>
      <c r="H16" s="896" t="s">
        <v>1512</v>
      </c>
      <c r="I16" s="896">
        <f t="shared" si="1"/>
        <v>0</v>
      </c>
      <c r="J16" s="1133"/>
      <c r="K16" s="896" t="s">
        <v>1512</v>
      </c>
      <c r="L16" s="1122">
        <v>15.8</v>
      </c>
      <c r="M16" s="896" t="str">
        <f t="shared" si="2"/>
        <v>ReciclajeCartón</v>
      </c>
      <c r="N16" s="1123">
        <f>+E16*VLOOKUP(M16,'Factores Emisión EDGE'!$I$121:$L$165,4,FALSE)</f>
        <v>0</v>
      </c>
      <c r="O16" s="1124">
        <f>+(E16/1000*L16*'Factores Emisión EDGE'!$L$236)/1000</f>
        <v>3.2963647469072001E-4</v>
      </c>
      <c r="P16" s="1124">
        <f t="shared" si="3"/>
        <v>3.2963647469072001E-4</v>
      </c>
      <c r="Q16" s="1118"/>
      <c r="R16" s="1558" t="s">
        <v>1513</v>
      </c>
      <c r="S16" s="1434"/>
      <c r="T16" s="1434"/>
      <c r="U16" s="1435"/>
      <c r="V16" s="1134">
        <v>1656</v>
      </c>
      <c r="W16" s="445" t="s">
        <v>925</v>
      </c>
      <c r="X16" s="1135">
        <f>V15-I37</f>
        <v>-41.912199999999984</v>
      </c>
      <c r="Y16" s="431" t="s">
        <v>1514</v>
      </c>
    </row>
    <row r="17" spans="2:25" ht="14.25" customHeight="1">
      <c r="B17" s="896" t="s">
        <v>1504</v>
      </c>
      <c r="C17" s="896" t="s">
        <v>1355</v>
      </c>
      <c r="D17" s="896" t="s">
        <v>1356</v>
      </c>
      <c r="E17" s="1132">
        <f>102240/1000</f>
        <v>102.24</v>
      </c>
      <c r="F17" s="1033" t="s">
        <v>1507</v>
      </c>
      <c r="G17" s="1027">
        <f t="shared" si="0"/>
        <v>0.12425862907146326</v>
      </c>
      <c r="H17" s="896" t="s">
        <v>1512</v>
      </c>
      <c r="I17" s="896">
        <f t="shared" si="1"/>
        <v>0</v>
      </c>
      <c r="J17" s="1133"/>
      <c r="K17" s="896" t="s">
        <v>1512</v>
      </c>
      <c r="L17" s="1122">
        <v>20.9</v>
      </c>
      <c r="M17" s="896" t="str">
        <f t="shared" ref="M17:M24" si="4">+K17&amp;D17</f>
        <v>ReciclajePE baja densidad</v>
      </c>
      <c r="N17" s="1123">
        <f>+E17*VLOOKUP(M17,'Factores Emisión EDGE'!$I$121:$L$165,4,FALSE)</f>
        <v>0</v>
      </c>
      <c r="O17" s="1124">
        <f>+(E17/1000*L17*'Factores Emisión EDGE'!$L$236)</f>
        <v>0.28416966822287992</v>
      </c>
      <c r="P17" s="1124">
        <f t="shared" si="3"/>
        <v>0.28416966822287992</v>
      </c>
      <c r="Q17" s="434"/>
      <c r="R17" s="1558" t="s">
        <v>1515</v>
      </c>
      <c r="S17" s="1434"/>
      <c r="T17" s="1434"/>
      <c r="U17" s="1435"/>
      <c r="V17" s="1134">
        <v>2170</v>
      </c>
      <c r="W17" s="445" t="s">
        <v>925</v>
      </c>
      <c r="X17" s="1136">
        <f>X16+X15</f>
        <v>-83.784999999999997</v>
      </c>
      <c r="Y17" s="1137" t="s">
        <v>1516</v>
      </c>
    </row>
    <row r="18" spans="2:25" ht="14.25" customHeight="1">
      <c r="B18" s="896" t="s">
        <v>1504</v>
      </c>
      <c r="C18" s="896" t="s">
        <v>1517</v>
      </c>
      <c r="D18" s="896" t="s">
        <v>1518</v>
      </c>
      <c r="E18" s="1132">
        <f>149230/1000</f>
        <v>149.22999999999999</v>
      </c>
      <c r="F18" s="1033" t="s">
        <v>1507</v>
      </c>
      <c r="G18" s="1027">
        <f t="shared" si="0"/>
        <v>0.18136849781234804</v>
      </c>
      <c r="H18" s="1122" t="s">
        <v>1519</v>
      </c>
      <c r="I18" s="896">
        <f t="shared" si="1"/>
        <v>0</v>
      </c>
      <c r="J18" s="1138"/>
      <c r="K18" s="1122" t="s">
        <v>1519</v>
      </c>
      <c r="L18" s="1122">
        <v>29.4</v>
      </c>
      <c r="M18" s="896" t="str">
        <f t="shared" si="4"/>
        <v>Compostaje industrialOrgánico</v>
      </c>
      <c r="N18" s="1123">
        <f>+E18*VLOOKUP(M18,'Factores Emisión EDGE'!$I$121:$L$165,4,FALSE)</f>
        <v>8.8695589188499984</v>
      </c>
      <c r="O18" s="1124">
        <f>+(E18/1000*L18*'Factores Emisión EDGE'!$L$236)</f>
        <v>0.58346399685965988</v>
      </c>
      <c r="P18" s="1124">
        <f t="shared" si="3"/>
        <v>9.4530229157096581</v>
      </c>
      <c r="Q18" s="1118"/>
      <c r="R18" s="1558" t="s">
        <v>1520</v>
      </c>
      <c r="S18" s="1434"/>
      <c r="T18" s="1434"/>
      <c r="U18" s="1435"/>
      <c r="V18" s="1139">
        <v>0.31</v>
      </c>
      <c r="W18" s="431" t="s">
        <v>1521</v>
      </c>
      <c r="X18" s="450"/>
      <c r="Y18" s="450"/>
    </row>
    <row r="19" spans="2:25" ht="14.25" customHeight="1">
      <c r="B19" s="896" t="s">
        <v>1504</v>
      </c>
      <c r="C19" s="896" t="s">
        <v>1346</v>
      </c>
      <c r="D19" s="896" t="s">
        <v>1346</v>
      </c>
      <c r="E19" s="1132">
        <f>18380/1000</f>
        <v>18.38</v>
      </c>
      <c r="F19" s="1033" t="s">
        <v>1507</v>
      </c>
      <c r="G19" s="1027">
        <f t="shared" si="0"/>
        <v>2.2338356830335433E-2</v>
      </c>
      <c r="H19" s="1122" t="s">
        <v>1512</v>
      </c>
      <c r="I19" s="896">
        <f t="shared" si="1"/>
        <v>0</v>
      </c>
      <c r="J19" s="1138"/>
      <c r="K19" s="1122" t="s">
        <v>1512</v>
      </c>
      <c r="L19" s="1122">
        <v>15.5</v>
      </c>
      <c r="M19" s="896" t="str">
        <f t="shared" si="4"/>
        <v>ReciclajePapel</v>
      </c>
      <c r="N19" s="1123">
        <f>+E19*VLOOKUP(M19,'Factores Emisión EDGE'!$I$121:$L$165,4,FALSE)</f>
        <v>0</v>
      </c>
      <c r="O19" s="1124">
        <f>+(E19/1000*L19*'Factores Emisión EDGE'!$L$236)</f>
        <v>3.7886788932699998E-2</v>
      </c>
      <c r="P19" s="1124">
        <f t="shared" si="3"/>
        <v>3.7886788932699998E-2</v>
      </c>
      <c r="Q19" s="434"/>
      <c r="R19" s="1558" t="s">
        <v>1150</v>
      </c>
      <c r="S19" s="1434"/>
      <c r="T19" s="1434"/>
      <c r="U19" s="1435"/>
      <c r="V19" s="1140" t="s">
        <v>1522</v>
      </c>
      <c r="W19" s="431"/>
      <c r="X19" s="431"/>
      <c r="Y19" s="431"/>
    </row>
    <row r="20" spans="2:25" ht="14.25" customHeight="1">
      <c r="B20" s="896" t="s">
        <v>1504</v>
      </c>
      <c r="C20" s="896" t="s">
        <v>1523</v>
      </c>
      <c r="D20" s="896" t="s">
        <v>1344</v>
      </c>
      <c r="E20" s="1132">
        <f>9570/1000</f>
        <v>9.57</v>
      </c>
      <c r="F20" s="1033" t="s">
        <v>1507</v>
      </c>
      <c r="G20" s="1027">
        <f t="shared" si="0"/>
        <v>1.1631016042780747E-2</v>
      </c>
      <c r="H20" s="1122" t="s">
        <v>1512</v>
      </c>
      <c r="I20" s="896">
        <f t="shared" si="1"/>
        <v>0</v>
      </c>
      <c r="J20" s="1138"/>
      <c r="K20" s="1122" t="s">
        <v>1512</v>
      </c>
      <c r="L20" s="1122">
        <v>13.4</v>
      </c>
      <c r="M20" s="896" t="str">
        <f t="shared" si="4"/>
        <v>ReciclajeCartón</v>
      </c>
      <c r="N20" s="1123">
        <f>+E20*VLOOKUP(M20,'Factores Emisión EDGE'!$I$121:$L$165,4,FALSE)</f>
        <v>0</v>
      </c>
      <c r="O20" s="1124">
        <f>+(E20/1000*L20*'Factores Emisión EDGE'!$L$236)</f>
        <v>1.7054042048340001E-2</v>
      </c>
      <c r="P20" s="1124">
        <f t="shared" si="3"/>
        <v>1.7054042048340001E-2</v>
      </c>
      <c r="Q20" s="1118"/>
      <c r="R20" s="1118"/>
      <c r="S20" s="1118"/>
      <c r="T20" s="1118"/>
      <c r="U20" s="1118"/>
      <c r="V20" s="1118"/>
      <c r="W20" s="1118"/>
      <c r="X20" s="1118"/>
      <c r="Y20" s="431"/>
    </row>
    <row r="21" spans="2:25" ht="14.25" customHeight="1">
      <c r="B21" s="896" t="s">
        <v>1504</v>
      </c>
      <c r="C21" s="896" t="s">
        <v>1524</v>
      </c>
      <c r="D21" s="896" t="s">
        <v>1525</v>
      </c>
      <c r="E21" s="1132">
        <f>9830/1000</f>
        <v>9.83</v>
      </c>
      <c r="F21" s="1033" t="s">
        <v>1507</v>
      </c>
      <c r="G21" s="1027">
        <f t="shared" si="0"/>
        <v>1.1947010209042291E-2</v>
      </c>
      <c r="H21" s="1122" t="s">
        <v>1512</v>
      </c>
      <c r="I21" s="896">
        <f t="shared" si="1"/>
        <v>0</v>
      </c>
      <c r="J21" s="1138"/>
      <c r="K21" s="1122" t="s">
        <v>1512</v>
      </c>
      <c r="L21" s="1122">
        <v>31.2</v>
      </c>
      <c r="M21" s="896" t="str">
        <f t="shared" si="4"/>
        <v>ReciclajeMetal</v>
      </c>
      <c r="N21" s="1123">
        <f>+E21*VLOOKUP(M21,'Factores Emisión EDGE'!$I$121:$L$165,4,FALSE)</f>
        <v>0</v>
      </c>
      <c r="O21" s="1124">
        <f>+(E21/1000*L21*'Factores Emisión EDGE'!$L$236)</f>
        <v>4.0786712831279999E-2</v>
      </c>
      <c r="P21" s="1124">
        <f t="shared" si="3"/>
        <v>4.0786712831279999E-2</v>
      </c>
      <c r="Q21" s="434"/>
      <c r="R21" s="434"/>
      <c r="S21" s="434"/>
      <c r="T21" s="434"/>
      <c r="U21" s="434"/>
      <c r="V21" s="434"/>
      <c r="W21" s="434"/>
      <c r="X21" s="434"/>
      <c r="Y21" s="431"/>
    </row>
    <row r="22" spans="2:25" ht="14.25" customHeight="1">
      <c r="B22" s="896" t="s">
        <v>1504</v>
      </c>
      <c r="C22" s="896" t="s">
        <v>1526</v>
      </c>
      <c r="D22" s="896" t="s">
        <v>1527</v>
      </c>
      <c r="E22" s="1132">
        <f>4890/1000</f>
        <v>4.8899999999999997</v>
      </c>
      <c r="F22" s="1033" t="s">
        <v>1507</v>
      </c>
      <c r="G22" s="1027">
        <f t="shared" si="0"/>
        <v>5.9431210500729198E-3</v>
      </c>
      <c r="H22" s="896" t="s">
        <v>1512</v>
      </c>
      <c r="I22" s="896">
        <f t="shared" si="1"/>
        <v>0</v>
      </c>
      <c r="J22" s="1133"/>
      <c r="K22" s="896" t="s">
        <v>1512</v>
      </c>
      <c r="L22" s="896">
        <v>17.600000000000001</v>
      </c>
      <c r="M22" s="896" t="str">
        <f t="shared" si="4"/>
        <v>ReciclajePoliestireno</v>
      </c>
      <c r="N22" s="1123">
        <f>+E22*VLOOKUP(M22,'Factores Emisión EDGE'!$I$121:$L$165,4,FALSE)</f>
        <v>0</v>
      </c>
      <c r="O22" s="1124">
        <f>+(E22/1000*L22*'Factores Emisión EDGE'!$L$236)</f>
        <v>1.1445430175519999E-2</v>
      </c>
      <c r="P22" s="1124">
        <f t="shared" si="3"/>
        <v>1.1445430175519999E-2</v>
      </c>
      <c r="Q22" s="1118"/>
      <c r="R22" s="1118"/>
      <c r="S22" s="1118"/>
      <c r="T22" s="1118"/>
      <c r="U22" s="1118"/>
      <c r="V22" s="1118"/>
      <c r="W22" s="1118"/>
      <c r="X22" s="1118"/>
      <c r="Y22" s="431"/>
    </row>
    <row r="23" spans="2:25" ht="14.25" customHeight="1">
      <c r="B23" s="896" t="s">
        <v>1504</v>
      </c>
      <c r="C23" s="896" t="s">
        <v>1528</v>
      </c>
      <c r="D23" s="896" t="s">
        <v>1529</v>
      </c>
      <c r="E23" s="1132">
        <f>2600/1000</f>
        <v>2.6</v>
      </c>
      <c r="F23" s="1033" t="s">
        <v>1507</v>
      </c>
      <c r="G23" s="1027">
        <f t="shared" si="0"/>
        <v>3.1599416626154589E-3</v>
      </c>
      <c r="H23" s="896" t="s">
        <v>1512</v>
      </c>
      <c r="I23" s="896">
        <f t="shared" si="1"/>
        <v>0</v>
      </c>
      <c r="J23" s="1133"/>
      <c r="K23" s="896" t="s">
        <v>1512</v>
      </c>
      <c r="L23" s="896">
        <v>10.7</v>
      </c>
      <c r="M23" s="896" t="str">
        <f t="shared" si="4"/>
        <v>ReciclajePoliuretano</v>
      </c>
      <c r="N23" s="1123">
        <f>+E23*VLOOKUP(M23,'Factores Emisión EDGE'!$I$121:$L$165,4,FALSE)</f>
        <v>0</v>
      </c>
      <c r="O23" s="1124">
        <f>+(E23/1000*L23*'Factores Emisión EDGE'!$L$236)</f>
        <v>3.6997103025999995E-3</v>
      </c>
      <c r="P23" s="1124">
        <f t="shared" si="3"/>
        <v>3.6997103025999995E-3</v>
      </c>
      <c r="Q23" s="434"/>
      <c r="R23" s="431"/>
      <c r="S23" s="431"/>
      <c r="T23" s="431"/>
      <c r="U23" s="431"/>
      <c r="V23" s="431"/>
      <c r="W23" s="431"/>
      <c r="X23" s="431"/>
      <c r="Y23" s="431"/>
    </row>
    <row r="24" spans="2:25" ht="14.25" customHeight="1">
      <c r="B24" s="896" t="s">
        <v>1504</v>
      </c>
      <c r="C24" s="896" t="s">
        <v>1530</v>
      </c>
      <c r="D24" s="896" t="s">
        <v>1531</v>
      </c>
      <c r="E24" s="1132">
        <f>1370/1000</f>
        <v>1.37</v>
      </c>
      <c r="F24" s="1033" t="s">
        <v>1507</v>
      </c>
      <c r="G24" s="1027">
        <f t="shared" si="0"/>
        <v>1.665046183762761E-3</v>
      </c>
      <c r="H24" s="896" t="s">
        <v>1499</v>
      </c>
      <c r="I24" s="896">
        <f t="shared" si="1"/>
        <v>0</v>
      </c>
      <c r="J24" s="1133"/>
      <c r="K24" s="896" t="s">
        <v>1499</v>
      </c>
      <c r="L24" s="896">
        <v>18.5</v>
      </c>
      <c r="M24" s="896" t="str">
        <f t="shared" si="4"/>
        <v>TratamientoResiduos peligrosos</v>
      </c>
      <c r="N24" s="1123">
        <f>+E24*VLOOKUP(M24,'Factores Emisión EDGE'!$I$121:$L$165,4,FALSE)</f>
        <v>27.555064820000002</v>
      </c>
      <c r="O24" s="1124">
        <f>+(E24/1000*L24*'Factores Emisión EDGE'!$L$236)</f>
        <v>3.3705664133500002E-3</v>
      </c>
      <c r="P24" s="1124">
        <f t="shared" si="3"/>
        <v>27.55843538641335</v>
      </c>
      <c r="Q24" s="1118"/>
      <c r="R24" s="431"/>
      <c r="S24" s="431"/>
      <c r="T24" s="431"/>
      <c r="U24" s="431"/>
      <c r="V24" s="431"/>
      <c r="W24" s="431"/>
      <c r="X24" s="431"/>
      <c r="Y24" s="431"/>
    </row>
    <row r="25" spans="2:25" ht="14.25" customHeight="1">
      <c r="B25" s="1141"/>
      <c r="C25" s="1141"/>
      <c r="D25" s="1034" t="s">
        <v>1532</v>
      </c>
      <c r="E25" s="1142">
        <f>SUM(E14:E24)</f>
        <v>822.80000000000018</v>
      </c>
      <c r="F25" s="1033" t="s">
        <v>1507</v>
      </c>
      <c r="G25" s="1032">
        <f>SUM(G14:G24)</f>
        <v>0.99999999999999978</v>
      </c>
      <c r="H25" s="1034" t="s">
        <v>1533</v>
      </c>
      <c r="I25" s="1142">
        <f>SUM(I14:I24)</f>
        <v>367.81</v>
      </c>
      <c r="J25" s="1032">
        <f>I25/E25</f>
        <v>0.4470223626640738</v>
      </c>
      <c r="K25" s="1034"/>
      <c r="L25" s="1034"/>
      <c r="M25" s="1117" t="s">
        <v>87</v>
      </c>
      <c r="N25" s="1143">
        <f t="shared" ref="N25:O25" si="5">+SUM(N14:N24)</f>
        <v>316.00987073264997</v>
      </c>
      <c r="O25" s="1143">
        <f t="shared" si="5"/>
        <v>1.5447187784864707</v>
      </c>
      <c r="P25" s="1035">
        <f t="shared" si="3"/>
        <v>317.55458951113644</v>
      </c>
      <c r="Q25" s="1144"/>
      <c r="R25" s="1145"/>
      <c r="S25" s="1145"/>
      <c r="T25" s="1145"/>
      <c r="U25" s="1145"/>
      <c r="V25" s="1145"/>
      <c r="W25" s="1145"/>
      <c r="X25" s="1145"/>
      <c r="Y25" s="1145"/>
    </row>
    <row r="26" spans="2:25" ht="14.25" customHeight="1">
      <c r="B26" s="450"/>
      <c r="C26" s="450"/>
      <c r="D26" s="450"/>
      <c r="E26" s="532"/>
      <c r="F26" s="619"/>
      <c r="G26" s="450"/>
      <c r="H26" s="1034" t="s">
        <v>402</v>
      </c>
      <c r="I26" s="1146">
        <f>I32</f>
        <v>454.99</v>
      </c>
      <c r="J26" s="1147">
        <f>I26/E25</f>
        <v>0.55297763733592598</v>
      </c>
      <c r="K26" s="450"/>
      <c r="L26" s="450"/>
      <c r="M26" s="450"/>
      <c r="N26" s="1148"/>
      <c r="O26" s="450"/>
      <c r="P26" s="1149"/>
      <c r="Q26" s="1118"/>
      <c r="R26" s="431"/>
      <c r="S26" s="431"/>
      <c r="T26" s="431"/>
      <c r="U26" s="431"/>
      <c r="V26" s="431"/>
      <c r="W26" s="431"/>
      <c r="X26" s="431"/>
      <c r="Y26" s="431"/>
    </row>
    <row r="27" spans="2:25" ht="14.25" customHeight="1">
      <c r="B27" s="450"/>
      <c r="C27" s="450"/>
      <c r="D27" s="1150"/>
      <c r="E27" s="1560" t="s">
        <v>1534</v>
      </c>
      <c r="F27" s="1151"/>
      <c r="G27" s="450"/>
      <c r="H27" s="450"/>
      <c r="I27" s="450"/>
      <c r="J27" s="619"/>
      <c r="K27" s="450"/>
      <c r="L27" s="450"/>
      <c r="M27" s="450"/>
      <c r="N27" s="450"/>
      <c r="O27" s="450"/>
      <c r="P27" s="450"/>
      <c r="Q27" s="18"/>
      <c r="R27" s="431"/>
      <c r="S27" s="431"/>
      <c r="T27" s="431"/>
      <c r="U27" s="431"/>
      <c r="V27" s="431" t="s">
        <v>814</v>
      </c>
      <c r="W27" s="431"/>
      <c r="X27" s="431"/>
      <c r="Y27" s="431"/>
    </row>
    <row r="28" spans="2:25" ht="14.25" customHeight="1">
      <c r="B28" s="450"/>
      <c r="C28" s="450"/>
      <c r="D28" s="1150"/>
      <c r="E28" s="1387"/>
      <c r="F28" s="1151"/>
      <c r="G28" s="450"/>
      <c r="H28" s="1024" t="s">
        <v>1535</v>
      </c>
      <c r="I28" s="1024" t="s">
        <v>1507</v>
      </c>
      <c r="J28" s="1024" t="s">
        <v>47</v>
      </c>
      <c r="K28" s="1152" t="s">
        <v>1536</v>
      </c>
      <c r="L28" s="1152" t="s">
        <v>1537</v>
      </c>
      <c r="M28" s="1152" t="s">
        <v>7</v>
      </c>
      <c r="N28" s="1153"/>
      <c r="O28" s="1150"/>
      <c r="P28" s="1154"/>
      <c r="Q28" s="1150"/>
      <c r="S28" s="431"/>
      <c r="T28" s="431"/>
      <c r="U28" s="431"/>
      <c r="V28" s="431"/>
      <c r="W28" s="431"/>
      <c r="X28" s="431"/>
      <c r="Y28" s="431"/>
    </row>
    <row r="29" spans="2:25" ht="14.25" customHeight="1">
      <c r="B29" s="450"/>
      <c r="C29" s="450"/>
      <c r="D29" s="1150"/>
      <c r="E29" s="1387"/>
      <c r="F29" s="1151"/>
      <c r="G29" s="450"/>
      <c r="H29" s="896" t="s">
        <v>1512</v>
      </c>
      <c r="I29" s="1155">
        <f>E16+E17+E19++E20+E21+E22+E23</f>
        <v>304.39</v>
      </c>
      <c r="J29" s="1074">
        <f>I29/I32</f>
        <v>0.66900371436734873</v>
      </c>
      <c r="K29" s="1156">
        <f t="shared" ref="K29:K32" si="6">I29*1000/$S$5</f>
        <v>1.5931782930805324E-2</v>
      </c>
      <c r="L29" s="1156">
        <f>SUM(N16:O17)+SUM(N19:O23)</f>
        <v>0.39537198898801063</v>
      </c>
      <c r="M29" s="1156"/>
      <c r="N29" s="1157"/>
      <c r="O29" s="1150"/>
      <c r="P29" s="1150"/>
      <c r="Q29" s="1150"/>
      <c r="R29" s="431"/>
      <c r="S29" s="431"/>
      <c r="T29" s="431"/>
      <c r="U29" s="431"/>
      <c r="V29" s="431"/>
      <c r="W29" s="431"/>
      <c r="X29" s="431"/>
      <c r="Y29" s="431"/>
    </row>
    <row r="30" spans="2:25" ht="14.25" customHeight="1">
      <c r="B30" s="450"/>
      <c r="C30" s="450"/>
      <c r="D30" s="1150"/>
      <c r="E30" s="1387"/>
      <c r="F30" s="1151"/>
      <c r="G30" s="450"/>
      <c r="H30" s="896" t="s">
        <v>1538</v>
      </c>
      <c r="I30" s="1155">
        <f>E18</f>
        <v>149.22999999999999</v>
      </c>
      <c r="J30" s="1074">
        <f>I30/I32</f>
        <v>0.32798523044462513</v>
      </c>
      <c r="K30" s="1156">
        <f t="shared" si="6"/>
        <v>7.8107032647724249E-3</v>
      </c>
      <c r="L30" s="1156">
        <f>N18+O18</f>
        <v>9.4530229157096581</v>
      </c>
      <c r="M30" s="1156"/>
      <c r="N30" s="1158"/>
      <c r="O30" s="1150"/>
      <c r="Q30" s="1150"/>
      <c r="R30" s="431"/>
      <c r="S30" s="431"/>
      <c r="T30" s="431"/>
      <c r="U30" s="431"/>
      <c r="V30" s="431"/>
      <c r="W30" s="431"/>
      <c r="X30" s="431"/>
      <c r="Y30" s="431"/>
    </row>
    <row r="31" spans="2:25" ht="14.25" customHeight="1">
      <c r="B31" s="450"/>
      <c r="C31" s="450"/>
      <c r="D31" s="1150"/>
      <c r="E31" s="1388"/>
      <c r="F31" s="1151"/>
      <c r="G31" s="450"/>
      <c r="H31" s="896" t="s">
        <v>1539</v>
      </c>
      <c r="I31" s="1155">
        <f>E24</f>
        <v>1.37</v>
      </c>
      <c r="J31" s="1074">
        <f>I31/I32</f>
        <v>3.0110551880261106E-3</v>
      </c>
      <c r="K31" s="1156">
        <f t="shared" si="6"/>
        <v>7.1705846496939105E-5</v>
      </c>
      <c r="L31" s="1156"/>
      <c r="M31" s="1156"/>
      <c r="N31" s="1158"/>
      <c r="O31" s="1150"/>
      <c r="P31" s="1150"/>
      <c r="Q31" s="1150"/>
      <c r="R31" s="431"/>
      <c r="S31" s="431"/>
      <c r="T31" s="431"/>
      <c r="U31" s="431"/>
      <c r="V31" s="431"/>
      <c r="W31" s="431"/>
      <c r="X31" s="431"/>
      <c r="Y31" s="431"/>
    </row>
    <row r="32" spans="2:25" ht="14.25" customHeight="1">
      <c r="B32" s="450"/>
      <c r="C32" s="450"/>
      <c r="D32" s="450"/>
      <c r="E32" s="450"/>
      <c r="F32" s="619"/>
      <c r="G32" s="450"/>
      <c r="H32" s="896" t="s">
        <v>1540</v>
      </c>
      <c r="I32" s="1129">
        <f t="shared" ref="I32:J32" si="7">SUM(I29:I31)</f>
        <v>454.99</v>
      </c>
      <c r="J32" s="1074">
        <f t="shared" si="7"/>
        <v>1</v>
      </c>
      <c r="K32" s="1159">
        <f t="shared" si="6"/>
        <v>2.3814192042074689E-2</v>
      </c>
      <c r="L32" s="1159"/>
      <c r="M32" s="1159"/>
      <c r="N32" s="1160"/>
      <c r="O32" s="1150"/>
      <c r="P32" s="1150"/>
      <c r="Q32" s="1150"/>
      <c r="R32" s="431"/>
      <c r="S32" s="431"/>
      <c r="T32" s="431"/>
      <c r="U32" s="431"/>
      <c r="V32" s="431"/>
      <c r="W32" s="431"/>
      <c r="X32" s="431"/>
      <c r="Y32" s="431"/>
    </row>
    <row r="34" spans="2:16" ht="14.25" customHeight="1">
      <c r="B34" s="1520">
        <v>2021</v>
      </c>
      <c r="C34" s="1434"/>
      <c r="D34" s="1434"/>
      <c r="E34" s="1434"/>
      <c r="F34" s="1434"/>
      <c r="G34" s="1434"/>
      <c r="H34" s="1434"/>
      <c r="I34" s="1434"/>
      <c r="J34" s="1434"/>
      <c r="K34" s="1434"/>
      <c r="L34" s="1434"/>
      <c r="M34" s="1435"/>
      <c r="N34" s="1117" t="s">
        <v>96</v>
      </c>
      <c r="O34" s="1117" t="s">
        <v>231</v>
      </c>
      <c r="P34" s="1117" t="s">
        <v>87</v>
      </c>
    </row>
    <row r="35" spans="2:16" ht="14.25" customHeight="1">
      <c r="B35" s="1024" t="s">
        <v>113</v>
      </c>
      <c r="C35" s="1024" t="s">
        <v>1496</v>
      </c>
      <c r="D35" s="1024" t="s">
        <v>1497</v>
      </c>
      <c r="E35" s="1024" t="s">
        <v>1498</v>
      </c>
      <c r="F35" s="1024" t="s">
        <v>458</v>
      </c>
      <c r="G35" s="1024" t="s">
        <v>47</v>
      </c>
      <c r="H35" s="1024" t="s">
        <v>1499</v>
      </c>
      <c r="I35" s="1024" t="s">
        <v>1541</v>
      </c>
      <c r="J35" s="1024" t="s">
        <v>47</v>
      </c>
      <c r="K35" s="1024" t="s">
        <v>1501</v>
      </c>
      <c r="L35" s="1024" t="s">
        <v>1502</v>
      </c>
      <c r="M35" s="1024" t="s">
        <v>1503</v>
      </c>
      <c r="N35" s="1119" t="s">
        <v>437</v>
      </c>
      <c r="O35" s="1119" t="s">
        <v>437</v>
      </c>
      <c r="P35" s="1119" t="s">
        <v>437</v>
      </c>
    </row>
    <row r="36" spans="2:16" ht="14.25" customHeight="1">
      <c r="B36" s="896" t="s">
        <v>1504</v>
      </c>
      <c r="C36" s="896" t="s">
        <v>1505</v>
      </c>
      <c r="D36" s="896" t="s">
        <v>1506</v>
      </c>
      <c r="E36" s="1121">
        <f>444550/1000</f>
        <v>444.55</v>
      </c>
      <c r="F36" s="1033" t="s">
        <v>1507</v>
      </c>
      <c r="G36" s="1161">
        <f t="shared" ref="G36:G40" si="8">E36/$E$41</f>
        <v>0.35876122263694138</v>
      </c>
      <c r="H36" s="896" t="s">
        <v>1508</v>
      </c>
      <c r="I36" s="1121">
        <f t="shared" ref="I36:I40" si="9">IF(H36="Relleno sanitario",E36,0)</f>
        <v>444.55</v>
      </c>
      <c r="J36" s="1027">
        <f>I36/E41</f>
        <v>0.35876122263694138</v>
      </c>
      <c r="K36" s="896" t="s">
        <v>1508</v>
      </c>
      <c r="L36" s="1122">
        <v>11.5</v>
      </c>
      <c r="M36" s="896" t="str">
        <f t="shared" ref="M36:M38" si="10">+H36&amp;D36</f>
        <v>Relleno sanitarioResiduos domiciliarios</v>
      </c>
      <c r="N36" s="1162">
        <f>+E36*VLOOKUP(M36,'Factores Emisión EDGE'!$I$121:$L$165,4,FALSE)</f>
        <v>337.91800535900001</v>
      </c>
      <c r="O36" s="1155">
        <f>+(E36/1000*L36*'Factores Emisión EDGE'!$L$236)</f>
        <v>0.67987496307474993</v>
      </c>
      <c r="P36" s="1155">
        <f t="shared" ref="P36:P41" si="11">SUM(N36:O36)</f>
        <v>338.59788032207473</v>
      </c>
    </row>
    <row r="37" spans="2:16" ht="14.25" customHeight="1">
      <c r="B37" s="896" t="s">
        <v>1</v>
      </c>
      <c r="C37" s="896" t="s">
        <v>1509</v>
      </c>
      <c r="D37" s="896" t="s">
        <v>1506</v>
      </c>
      <c r="E37" s="1121">
        <f>219505/1000</f>
        <v>219.505</v>
      </c>
      <c r="F37" s="1033" t="s">
        <v>1507</v>
      </c>
      <c r="G37" s="1161">
        <f t="shared" si="8"/>
        <v>0.17714516291738122</v>
      </c>
      <c r="H37" s="896" t="s">
        <v>1508</v>
      </c>
      <c r="I37" s="1121">
        <f t="shared" si="9"/>
        <v>219.505</v>
      </c>
      <c r="J37" s="1027">
        <f>I37/E41</f>
        <v>0.17714516291738122</v>
      </c>
      <c r="K37" s="896" t="s">
        <v>1508</v>
      </c>
      <c r="L37" s="1122">
        <v>20</v>
      </c>
      <c r="M37" s="896" t="str">
        <f t="shared" si="10"/>
        <v>Relleno sanitarioResiduos domiciliarios</v>
      </c>
      <c r="N37" s="1162">
        <f>+E37*VLOOKUP(M37,'Factores Emisión EDGE'!$I$121:$L$165,4,FALSE)</f>
        <v>166.85342878489999</v>
      </c>
      <c r="O37" s="1155">
        <f>+(E37/1000*L37*'Factores Emisión EDGE'!$L$236)</f>
        <v>0.58382811644300003</v>
      </c>
      <c r="P37" s="1155">
        <f t="shared" si="11"/>
        <v>167.43725690134298</v>
      </c>
    </row>
    <row r="38" spans="2:16" ht="14.25" customHeight="1">
      <c r="B38" s="896" t="s">
        <v>1504</v>
      </c>
      <c r="C38" s="896" t="s">
        <v>1343</v>
      </c>
      <c r="D38" s="896" t="s">
        <v>1344</v>
      </c>
      <c r="E38" s="1121">
        <f>238540/1000</f>
        <v>238.54</v>
      </c>
      <c r="F38" s="1033" t="s">
        <v>1507</v>
      </c>
      <c r="G38" s="1161">
        <f t="shared" si="8"/>
        <v>0.1925068092403914</v>
      </c>
      <c r="H38" s="896" t="s">
        <v>1512</v>
      </c>
      <c r="I38" s="896">
        <f t="shared" si="9"/>
        <v>0</v>
      </c>
      <c r="J38" s="1133"/>
      <c r="K38" s="896" t="s">
        <v>1512</v>
      </c>
      <c r="L38" s="1122">
        <v>15.8</v>
      </c>
      <c r="M38" s="896" t="str">
        <f t="shared" si="10"/>
        <v>ReciclajeCartón</v>
      </c>
      <c r="N38" s="1162">
        <f>+E38*VLOOKUP(M38,'Factores Emisión EDGE'!$I$121:$L$165,4,FALSE)</f>
        <v>0</v>
      </c>
      <c r="O38" s="1155">
        <f>+(E38/1000*L38*'Factores Emisión EDGE'!$L$236)</f>
        <v>0.50122058052476004</v>
      </c>
      <c r="P38" s="1155">
        <f t="shared" si="11"/>
        <v>0.50122058052476004</v>
      </c>
    </row>
    <row r="39" spans="2:16" ht="14.25" customHeight="1">
      <c r="B39" s="896" t="s">
        <v>1504</v>
      </c>
      <c r="C39" s="896" t="s">
        <v>1355</v>
      </c>
      <c r="D39" s="896" t="s">
        <v>1356</v>
      </c>
      <c r="E39" s="1121">
        <f>147760/1000</f>
        <v>147.76</v>
      </c>
      <c r="F39" s="1033" t="s">
        <v>1507</v>
      </c>
      <c r="G39" s="1161">
        <f t="shared" si="8"/>
        <v>0.11924543528699687</v>
      </c>
      <c r="H39" s="896" t="s">
        <v>1512</v>
      </c>
      <c r="I39" s="896">
        <f t="shared" si="9"/>
        <v>0</v>
      </c>
      <c r="J39" s="1133"/>
      <c r="K39" s="896" t="s">
        <v>1512</v>
      </c>
      <c r="L39" s="1122">
        <v>20.9</v>
      </c>
      <c r="M39" s="896" t="str">
        <f t="shared" ref="M39:M40" si="12">+K39&amp;D39</f>
        <v>ReciclajePE baja densidad</v>
      </c>
      <c r="N39" s="1162">
        <f>+E39*VLOOKUP(M39,'Factores Emisión EDGE'!$I$121:$L$165,4,FALSE)</f>
        <v>0</v>
      </c>
      <c r="O39" s="1155">
        <f>+(E39/1000*L39*'Factores Emisión EDGE'!$L$236)</f>
        <v>0.41068965352711995</v>
      </c>
      <c r="P39" s="1155">
        <f t="shared" si="11"/>
        <v>0.41068965352711995</v>
      </c>
    </row>
    <row r="40" spans="2:16" ht="14.25" customHeight="1">
      <c r="B40" s="896" t="s">
        <v>1504</v>
      </c>
      <c r="C40" s="896" t="s">
        <v>1517</v>
      </c>
      <c r="D40" s="896" t="s">
        <v>1361</v>
      </c>
      <c r="E40" s="1121">
        <f>188770/1000</f>
        <v>188.77</v>
      </c>
      <c r="F40" s="1033" t="s">
        <v>1507</v>
      </c>
      <c r="G40" s="1161">
        <f t="shared" si="8"/>
        <v>0.15234136991828912</v>
      </c>
      <c r="H40" s="1122" t="s">
        <v>1542</v>
      </c>
      <c r="I40" s="896">
        <f t="shared" si="9"/>
        <v>0</v>
      </c>
      <c r="J40" s="1138"/>
      <c r="K40" s="1122" t="s">
        <v>1543</v>
      </c>
      <c r="L40" s="1122">
        <v>29.4</v>
      </c>
      <c r="M40" s="896" t="str">
        <f t="shared" si="12"/>
        <v>QuemaMadera</v>
      </c>
      <c r="N40" s="1162">
        <f>+E40*VLOOKUP(M40,'Factores Emisión EDGE'!$I$121:$L$165,4,FALSE)</f>
        <v>36.721664062499997</v>
      </c>
      <c r="O40" s="1155">
        <f>+(E40/1000*L40*'Factores Emisión EDGE'!$L$236)</f>
        <v>0.73805869253633993</v>
      </c>
      <c r="P40" s="1155">
        <f t="shared" si="11"/>
        <v>37.459722755036339</v>
      </c>
    </row>
    <row r="41" spans="2:16" ht="14.25" customHeight="1">
      <c r="B41" s="1141"/>
      <c r="C41" s="1141"/>
      <c r="D41" s="1034" t="s">
        <v>1532</v>
      </c>
      <c r="E41" s="1142">
        <f>SUM(E36:E40)</f>
        <v>1239.125</v>
      </c>
      <c r="F41" s="1033" t="s">
        <v>1507</v>
      </c>
      <c r="G41" s="1163">
        <f>SUM(G36:G40)</f>
        <v>1</v>
      </c>
      <c r="H41" s="1034" t="s">
        <v>1533</v>
      </c>
      <c r="I41" s="1142">
        <f>SUM(I36:I40)</f>
        <v>664.05500000000006</v>
      </c>
      <c r="J41" s="1032">
        <f>I41/E41</f>
        <v>0.53590638555432268</v>
      </c>
      <c r="K41" s="1034"/>
      <c r="L41" s="1034"/>
      <c r="M41" s="1117" t="s">
        <v>87</v>
      </c>
      <c r="N41" s="1164">
        <f t="shared" ref="N41:O41" si="13">+SUM(N36:N40)</f>
        <v>541.49309820639996</v>
      </c>
      <c r="O41" s="1164">
        <f t="shared" si="13"/>
        <v>2.91367200610597</v>
      </c>
      <c r="P41" s="1129">
        <f t="shared" si="11"/>
        <v>544.40677021250599</v>
      </c>
    </row>
    <row r="42" spans="2:16" ht="14.25" customHeight="1">
      <c r="B42" s="450"/>
      <c r="C42" s="450"/>
      <c r="D42" s="450"/>
      <c r="E42" s="450"/>
      <c r="F42" s="450"/>
      <c r="G42" s="450"/>
      <c r="H42" s="1034" t="s">
        <v>402</v>
      </c>
      <c r="I42" s="1142">
        <f>I48</f>
        <v>575.06999999999994</v>
      </c>
      <c r="J42" s="1032">
        <f>I42/E41</f>
        <v>0.46409361444567732</v>
      </c>
      <c r="K42" s="450"/>
      <c r="L42" s="450"/>
      <c r="M42" s="450"/>
      <c r="N42" s="450"/>
      <c r="O42" s="450"/>
      <c r="P42" s="450"/>
    </row>
    <row r="43" spans="2:16" ht="14.25" customHeight="1">
      <c r="B43" s="450"/>
      <c r="C43" s="450"/>
      <c r="D43" s="450"/>
      <c r="E43" s="450"/>
      <c r="F43" s="450"/>
      <c r="G43" s="450"/>
      <c r="H43" s="450"/>
      <c r="I43" s="450"/>
      <c r="J43" s="450"/>
      <c r="K43" s="450"/>
      <c r="L43" s="450"/>
      <c r="M43" s="450"/>
      <c r="N43" s="450"/>
      <c r="O43" s="450"/>
      <c r="P43" s="450"/>
    </row>
    <row r="44" spans="2:16" ht="14.25" customHeight="1">
      <c r="B44" s="450"/>
      <c r="C44" s="450"/>
      <c r="D44" s="450"/>
      <c r="E44" s="450"/>
      <c r="F44" s="450"/>
      <c r="G44" s="450"/>
      <c r="H44" s="450"/>
      <c r="I44" s="450"/>
      <c r="J44" s="450"/>
      <c r="K44" s="450"/>
      <c r="L44" s="450"/>
      <c r="M44" s="450"/>
      <c r="N44" s="450"/>
      <c r="O44" s="450"/>
      <c r="P44" s="450"/>
    </row>
    <row r="45" spans="2:16" ht="14.25" customHeight="1">
      <c r="B45" s="450"/>
      <c r="C45" s="450"/>
      <c r="D45" s="450"/>
      <c r="E45" s="450"/>
      <c r="F45" s="450"/>
      <c r="G45" s="450"/>
      <c r="H45" s="1024" t="s">
        <v>1535</v>
      </c>
      <c r="I45" s="1024" t="s">
        <v>1507</v>
      </c>
      <c r="J45" s="1024" t="s">
        <v>47</v>
      </c>
      <c r="K45" s="450"/>
      <c r="L45" s="450"/>
      <c r="M45" s="450"/>
      <c r="N45" s="450"/>
      <c r="O45" s="450"/>
      <c r="P45" s="450"/>
    </row>
    <row r="46" spans="2:16" ht="14.25" customHeight="1">
      <c r="B46" s="450"/>
      <c r="C46" s="450"/>
      <c r="D46" s="450"/>
      <c r="E46" s="450"/>
      <c r="F46" s="450"/>
      <c r="G46" s="450"/>
      <c r="H46" s="896" t="s">
        <v>1512</v>
      </c>
      <c r="I46" s="1155">
        <f>E38+E39</f>
        <v>386.29999999999995</v>
      </c>
      <c r="J46" s="1074">
        <f>I46/I48</f>
        <v>0.67174430938842222</v>
      </c>
      <c r="K46" s="1165"/>
      <c r="L46" s="450"/>
      <c r="M46" s="450"/>
      <c r="N46" s="450"/>
      <c r="O46" s="450"/>
      <c r="P46" s="450"/>
    </row>
    <row r="47" spans="2:16" ht="14.25" customHeight="1">
      <c r="B47" s="450"/>
      <c r="C47" s="450"/>
      <c r="D47" s="450"/>
      <c r="E47" s="450"/>
      <c r="F47" s="450"/>
      <c r="G47" s="450"/>
      <c r="H47" s="896" t="s">
        <v>1544</v>
      </c>
      <c r="I47" s="1155">
        <f>E40</f>
        <v>188.77</v>
      </c>
      <c r="J47" s="1074">
        <f>I47/I48</f>
        <v>0.32825569061157778</v>
      </c>
      <c r="K47" s="1165"/>
      <c r="L47" s="450"/>
      <c r="M47" s="450"/>
      <c r="N47" s="450"/>
      <c r="O47" s="450"/>
      <c r="P47" s="450"/>
    </row>
    <row r="48" spans="2:16" ht="14.25" customHeight="1">
      <c r="B48" s="450"/>
      <c r="C48" s="450"/>
      <c r="D48" s="450"/>
      <c r="E48" s="450"/>
      <c r="F48" s="450"/>
      <c r="G48" s="450"/>
      <c r="H48" s="896" t="s">
        <v>1540</v>
      </c>
      <c r="I48" s="1129">
        <f t="shared" ref="I48:J48" si="14">I46+I47</f>
        <v>575.06999999999994</v>
      </c>
      <c r="J48" s="933">
        <f t="shared" si="14"/>
        <v>1</v>
      </c>
      <c r="K48" s="1165"/>
      <c r="L48" s="450"/>
      <c r="M48" s="450"/>
      <c r="N48" s="450"/>
      <c r="O48" s="450"/>
      <c r="P48" s="450"/>
    </row>
    <row r="50" spans="2:16" ht="14.25" customHeight="1">
      <c r="B50" s="1520" t="s">
        <v>468</v>
      </c>
      <c r="C50" s="1434"/>
      <c r="D50" s="1434"/>
      <c r="E50" s="1434"/>
      <c r="F50" s="1434"/>
      <c r="G50" s="1434"/>
      <c r="H50" s="1434"/>
      <c r="I50" s="1434"/>
      <c r="J50" s="1434"/>
      <c r="K50" s="1434"/>
      <c r="L50" s="1434"/>
      <c r="M50" s="1434"/>
      <c r="N50" s="1434"/>
      <c r="O50" s="1434"/>
      <c r="P50" s="1435"/>
    </row>
    <row r="51" spans="2:16" ht="14.25" customHeight="1">
      <c r="B51" s="1553" t="s">
        <v>875</v>
      </c>
      <c r="C51" s="1435"/>
      <c r="D51" s="1024">
        <v>2021</v>
      </c>
      <c r="E51" s="1024">
        <v>2022</v>
      </c>
      <c r="F51" s="1024" t="s">
        <v>8</v>
      </c>
      <c r="G51" s="1024" t="s">
        <v>257</v>
      </c>
      <c r="H51" s="1553" t="s">
        <v>877</v>
      </c>
      <c r="I51" s="1434"/>
      <c r="J51" s="1434"/>
      <c r="K51" s="1434"/>
      <c r="L51" s="1434"/>
      <c r="M51" s="1434"/>
      <c r="N51" s="1434"/>
      <c r="O51" s="1434"/>
      <c r="P51" s="1435"/>
    </row>
    <row r="52" spans="2:16" ht="28.5" customHeight="1">
      <c r="B52" s="1561" t="s">
        <v>1545</v>
      </c>
      <c r="C52" s="1435"/>
      <c r="D52" s="1166">
        <f>SUM(E36:E40)</f>
        <v>1239.125</v>
      </c>
      <c r="E52" s="1166">
        <f>SUM(E14:E24)</f>
        <v>822.80000000000018</v>
      </c>
      <c r="F52" s="1167">
        <f t="shared" ref="F52:F58" si="15">E52-D52</f>
        <v>-416.32499999999982</v>
      </c>
      <c r="G52" s="1168">
        <f t="shared" ref="G52:G54" si="16">F52/D52</f>
        <v>-0.33598305255724792</v>
      </c>
      <c r="H52" s="1559" t="s">
        <v>1546</v>
      </c>
      <c r="I52" s="1434"/>
      <c r="J52" s="1434"/>
      <c r="K52" s="1434"/>
      <c r="L52" s="1434"/>
      <c r="M52" s="1434"/>
      <c r="N52" s="1434"/>
      <c r="O52" s="1434"/>
      <c r="P52" s="1435"/>
    </row>
    <row r="53" spans="2:16" ht="14.25" customHeight="1">
      <c r="B53" s="1562" t="s">
        <v>1547</v>
      </c>
      <c r="C53" s="1435"/>
      <c r="D53" s="1169">
        <f>E41*1000/S4</f>
        <v>3.7614038875211454E-2</v>
      </c>
      <c r="E53" s="1170">
        <f>E25*1000/S5</f>
        <v>4.3065379925314971E-2</v>
      </c>
      <c r="F53" s="1171">
        <f t="shared" si="15"/>
        <v>5.451341050103517E-3</v>
      </c>
      <c r="G53" s="1172">
        <f t="shared" si="16"/>
        <v>0.14492836220510424</v>
      </c>
      <c r="H53" s="1566" t="s">
        <v>1548</v>
      </c>
      <c r="I53" s="1434"/>
      <c r="J53" s="1434"/>
      <c r="K53" s="1434"/>
      <c r="L53" s="1434"/>
      <c r="M53" s="1434"/>
      <c r="N53" s="1434"/>
      <c r="O53" s="1434"/>
      <c r="P53" s="1435"/>
    </row>
    <row r="54" spans="2:16" ht="29.25" customHeight="1">
      <c r="B54" s="1567" t="s">
        <v>1549</v>
      </c>
      <c r="C54" s="1435"/>
      <c r="D54" s="1166">
        <f>SUM(E36:E37)</f>
        <v>664.05500000000006</v>
      </c>
      <c r="E54" s="1173">
        <f>SUM(E14:E15)</f>
        <v>367.81</v>
      </c>
      <c r="F54" s="1174">
        <f t="shared" si="15"/>
        <v>-296.24500000000006</v>
      </c>
      <c r="G54" s="1175">
        <f t="shared" si="16"/>
        <v>-0.44611515612411629</v>
      </c>
      <c r="H54" s="1559" t="s">
        <v>1550</v>
      </c>
      <c r="I54" s="1434"/>
      <c r="J54" s="1434"/>
      <c r="K54" s="1434"/>
      <c r="L54" s="1434"/>
      <c r="M54" s="1434"/>
      <c r="N54" s="1434"/>
      <c r="O54" s="1434"/>
      <c r="P54" s="1435"/>
    </row>
    <row r="55" spans="2:16" ht="14.25" customHeight="1">
      <c r="B55" s="1567" t="s">
        <v>402</v>
      </c>
      <c r="C55" s="1435"/>
      <c r="D55" s="1176">
        <f>J42</f>
        <v>0.46409361444567732</v>
      </c>
      <c r="E55" s="1177">
        <f>J26</f>
        <v>0.55297763733592598</v>
      </c>
      <c r="F55" s="1178">
        <f t="shared" si="15"/>
        <v>8.888402289024866E-2</v>
      </c>
      <c r="G55" s="1175">
        <f>F55</f>
        <v>8.888402289024866E-2</v>
      </c>
      <c r="H55" s="1568" t="s">
        <v>1551</v>
      </c>
      <c r="I55" s="1434"/>
      <c r="J55" s="1434"/>
      <c r="K55" s="1434"/>
      <c r="L55" s="1434"/>
      <c r="M55" s="1434"/>
      <c r="N55" s="1434"/>
      <c r="O55" s="1434"/>
      <c r="P55" s="1435"/>
    </row>
    <row r="56" spans="2:16" ht="14.25" customHeight="1">
      <c r="B56" s="1562" t="s">
        <v>1552</v>
      </c>
      <c r="C56" s="1435"/>
      <c r="D56" s="1169">
        <f>(I41*1000)/S4</f>
        <v>2.0157603619714352E-2</v>
      </c>
      <c r="E56" s="1170">
        <f>(I25*1000)/19105834</f>
        <v>1.9251187883240272E-2</v>
      </c>
      <c r="F56" s="1171">
        <f t="shared" si="15"/>
        <v>-9.0641573647408033E-4</v>
      </c>
      <c r="G56" s="1172">
        <f t="shared" ref="G56:G58" si="17">F56/D56</f>
        <v>-4.496644311368421E-2</v>
      </c>
      <c r="H56" s="1566" t="s">
        <v>1553</v>
      </c>
      <c r="I56" s="1434"/>
      <c r="J56" s="1434"/>
      <c r="K56" s="1434"/>
      <c r="L56" s="1434"/>
      <c r="M56" s="1434"/>
      <c r="N56" s="1434"/>
      <c r="O56" s="1434"/>
      <c r="P56" s="1435"/>
    </row>
    <row r="57" spans="2:16" ht="54.75" customHeight="1">
      <c r="B57" s="1563" t="s">
        <v>1554</v>
      </c>
      <c r="C57" s="1435"/>
      <c r="D57" s="1179">
        <f>P41</f>
        <v>544.40677021250599</v>
      </c>
      <c r="E57" s="1179">
        <f>P25</f>
        <v>317.55458951113644</v>
      </c>
      <c r="F57" s="1180">
        <f t="shared" si="15"/>
        <v>-226.85218070136955</v>
      </c>
      <c r="G57" s="1181">
        <f t="shared" si="17"/>
        <v>-0.41669610503340937</v>
      </c>
      <c r="H57" s="1565" t="s">
        <v>1555</v>
      </c>
      <c r="I57" s="1434"/>
      <c r="J57" s="1434"/>
      <c r="K57" s="1434"/>
      <c r="L57" s="1434"/>
      <c r="M57" s="1434"/>
      <c r="N57" s="1434"/>
      <c r="O57" s="1434"/>
      <c r="P57" s="1435"/>
    </row>
    <row r="58" spans="2:16" ht="14.25" customHeight="1">
      <c r="B58" s="1562" t="s">
        <v>1556</v>
      </c>
      <c r="C58" s="1435"/>
      <c r="D58" s="1169">
        <f>D57*1000/S4</f>
        <v>1.6525643029316257E-2</v>
      </c>
      <c r="E58" s="1170">
        <f>E57*1000/S5</f>
        <v>1.6620817992616103E-2</v>
      </c>
      <c r="F58" s="1171">
        <f t="shared" si="15"/>
        <v>9.5174963299846094E-5</v>
      </c>
      <c r="G58" s="1182">
        <f t="shared" si="17"/>
        <v>5.7592290436751566E-3</v>
      </c>
      <c r="H58" s="1566" t="s">
        <v>1557</v>
      </c>
      <c r="I58" s="1434"/>
      <c r="J58" s="1434"/>
      <c r="K58" s="1434"/>
      <c r="L58" s="1434"/>
      <c r="M58" s="1434"/>
      <c r="N58" s="1434"/>
      <c r="O58" s="1434"/>
      <c r="P58" s="1435"/>
    </row>
    <row r="59" spans="2:16" ht="14.25" customHeight="1">
      <c r="B59" s="450"/>
      <c r="C59" s="450"/>
      <c r="D59" s="450"/>
      <c r="E59" s="450"/>
      <c r="F59" s="450"/>
      <c r="G59" s="1183"/>
      <c r="H59" s="450"/>
      <c r="I59" s="619"/>
      <c r="J59" s="619"/>
      <c r="K59" s="450"/>
      <c r="L59" s="450"/>
      <c r="M59" s="450"/>
      <c r="N59" s="450"/>
      <c r="O59" s="450"/>
      <c r="P59" s="1149"/>
    </row>
    <row r="60" spans="2:16" ht="14.25" customHeight="1">
      <c r="B60" s="450"/>
      <c r="C60" s="450"/>
      <c r="D60" s="450"/>
      <c r="E60" s="450"/>
      <c r="F60" s="450"/>
      <c r="G60" s="1179">
        <f>34%*D57</f>
        <v>185.09830187225205</v>
      </c>
      <c r="H60" s="1181">
        <f>G60/D57</f>
        <v>0.34</v>
      </c>
      <c r="I60" s="1184" t="s">
        <v>1558</v>
      </c>
      <c r="J60" s="619"/>
      <c r="K60" s="450"/>
      <c r="L60" s="450"/>
      <c r="M60" s="450"/>
      <c r="N60" s="450"/>
      <c r="O60" s="450"/>
      <c r="P60" s="1149"/>
    </row>
    <row r="61" spans="2:16" ht="14.25" customHeight="1">
      <c r="B61" s="444"/>
      <c r="C61" s="444"/>
      <c r="D61" s="444"/>
      <c r="E61" s="444"/>
      <c r="F61" s="444"/>
      <c r="G61" s="1185"/>
      <c r="H61" s="431"/>
      <c r="I61" s="591"/>
      <c r="J61" s="591"/>
      <c r="K61" s="431"/>
      <c r="L61" s="431"/>
      <c r="M61" s="431"/>
      <c r="N61" s="431"/>
      <c r="O61" s="431"/>
      <c r="P61" s="18"/>
    </row>
    <row r="62" spans="2:16" ht="14.25" customHeight="1">
      <c r="B62" s="1080" t="s">
        <v>107</v>
      </c>
      <c r="C62" s="1186"/>
      <c r="D62" s="1186"/>
      <c r="E62" s="1186"/>
      <c r="F62" s="1564"/>
      <c r="G62" s="1546"/>
      <c r="H62" s="1547"/>
      <c r="I62" s="591"/>
      <c r="J62" s="591"/>
      <c r="K62" s="431"/>
      <c r="L62" s="431"/>
      <c r="M62" s="431"/>
      <c r="N62" s="431"/>
      <c r="O62" s="431"/>
      <c r="P62" s="431"/>
    </row>
    <row r="63" spans="2:16" ht="14.25" customHeight="1">
      <c r="B63" s="1187" t="s">
        <v>1499</v>
      </c>
      <c r="C63" s="1187" t="s">
        <v>1531</v>
      </c>
      <c r="D63" s="1187">
        <v>20.113185999999999</v>
      </c>
      <c r="E63" s="1187" t="s">
        <v>139</v>
      </c>
      <c r="F63" s="1187" t="s">
        <v>1559</v>
      </c>
      <c r="G63" s="1188"/>
      <c r="H63" s="1189"/>
      <c r="I63" s="636"/>
      <c r="J63" s="591"/>
      <c r="K63" s="431"/>
      <c r="L63" s="431"/>
      <c r="M63" s="431"/>
      <c r="N63" s="431"/>
      <c r="O63" s="431"/>
      <c r="P63" s="18"/>
    </row>
    <row r="64" spans="2:16" ht="14.25" customHeight="1">
      <c r="B64" s="1187" t="s">
        <v>1560</v>
      </c>
      <c r="C64" s="1187" t="s">
        <v>1527</v>
      </c>
      <c r="D64" s="1187">
        <v>3.3023562000000002</v>
      </c>
      <c r="E64" s="1187" t="s">
        <v>139</v>
      </c>
      <c r="F64" s="1187" t="s">
        <v>162</v>
      </c>
      <c r="G64" s="1188"/>
      <c r="H64" s="1189"/>
      <c r="I64" s="636"/>
      <c r="J64" s="591"/>
      <c r="K64" s="431"/>
      <c r="L64" s="431"/>
      <c r="M64" s="431"/>
      <c r="N64" s="431"/>
      <c r="O64" s="431"/>
      <c r="P64" s="431"/>
    </row>
    <row r="65" spans="2:6" ht="14.25" customHeight="1">
      <c r="B65" s="1187" t="s">
        <v>1560</v>
      </c>
      <c r="C65" s="1187" t="s">
        <v>1358</v>
      </c>
      <c r="D65" s="1187">
        <v>3.1329562000000002</v>
      </c>
      <c r="E65" s="1187" t="s">
        <v>139</v>
      </c>
      <c r="F65" s="1187" t="s">
        <v>162</v>
      </c>
    </row>
    <row r="66" spans="2:6" ht="14.25" customHeight="1">
      <c r="B66" s="1187" t="s">
        <v>1560</v>
      </c>
      <c r="C66" s="1187" t="s">
        <v>1356</v>
      </c>
      <c r="D66" s="1187">
        <v>3.1329562000000002</v>
      </c>
      <c r="E66" s="1187" t="s">
        <v>139</v>
      </c>
      <c r="F66" s="1187" t="s">
        <v>162</v>
      </c>
    </row>
    <row r="67" spans="2:6" ht="14.25" customHeight="1">
      <c r="B67" s="1187" t="s">
        <v>1560</v>
      </c>
      <c r="C67" s="1187" t="s">
        <v>1561</v>
      </c>
      <c r="D67" s="1187">
        <v>2.6662561999999999</v>
      </c>
      <c r="E67" s="1187" t="s">
        <v>139</v>
      </c>
      <c r="F67" s="1187" t="s">
        <v>162</v>
      </c>
    </row>
    <row r="68" spans="2:6" ht="14.25" customHeight="1">
      <c r="B68" s="1187" t="s">
        <v>1560</v>
      </c>
      <c r="C68" s="1187" t="s">
        <v>1529</v>
      </c>
      <c r="D68" s="1187">
        <v>2.4713561999999998</v>
      </c>
      <c r="E68" s="1187" t="s">
        <v>139</v>
      </c>
      <c r="F68" s="1187" t="s">
        <v>162</v>
      </c>
    </row>
    <row r="69" spans="2:6" ht="14.25" customHeight="1">
      <c r="B69" s="1187" t="s">
        <v>1560</v>
      </c>
      <c r="C69" s="1187" t="s">
        <v>1364</v>
      </c>
      <c r="D69" s="1187">
        <v>2.4453562</v>
      </c>
      <c r="E69" s="1187" t="s">
        <v>139</v>
      </c>
      <c r="F69" s="1187" t="s">
        <v>162</v>
      </c>
    </row>
    <row r="70" spans="2:6" ht="14.25" customHeight="1">
      <c r="B70" s="1187" t="s">
        <v>1560</v>
      </c>
      <c r="C70" s="1187" t="s">
        <v>1562</v>
      </c>
      <c r="D70" s="1187">
        <v>2.1536563000000002</v>
      </c>
      <c r="E70" s="1187" t="s">
        <v>139</v>
      </c>
      <c r="F70" s="1187" t="s">
        <v>162</v>
      </c>
    </row>
    <row r="71" spans="2:6" ht="14.25" customHeight="1">
      <c r="B71" s="1187" t="s">
        <v>1508</v>
      </c>
      <c r="C71" s="1187" t="s">
        <v>1346</v>
      </c>
      <c r="D71" s="1187">
        <v>2.1329126</v>
      </c>
      <c r="E71" s="1187" t="s">
        <v>139</v>
      </c>
      <c r="F71" s="1187" t="s">
        <v>162</v>
      </c>
    </row>
    <row r="72" spans="2:6" ht="14.25" customHeight="1">
      <c r="B72" s="1187" t="s">
        <v>1508</v>
      </c>
      <c r="C72" s="1187" t="s">
        <v>1349</v>
      </c>
      <c r="D72" s="1187">
        <v>2.0164496999999999</v>
      </c>
      <c r="E72" s="1187" t="s">
        <v>139</v>
      </c>
      <c r="F72" s="1187"/>
    </row>
    <row r="73" spans="2:6" ht="14.25" customHeight="1">
      <c r="B73" s="1187" t="s">
        <v>1508</v>
      </c>
      <c r="C73" s="1187" t="s">
        <v>1344</v>
      </c>
      <c r="D73" s="1187">
        <v>1.8588391</v>
      </c>
      <c r="E73" s="1187" t="s">
        <v>139</v>
      </c>
      <c r="F73" s="1187" t="s">
        <v>162</v>
      </c>
    </row>
    <row r="74" spans="2:6" ht="14.25" customHeight="1">
      <c r="B74" s="1187" t="s">
        <v>1560</v>
      </c>
      <c r="C74" s="1187" t="s">
        <v>1563</v>
      </c>
      <c r="D74" s="1187">
        <v>1.7413562</v>
      </c>
      <c r="E74" s="1187" t="s">
        <v>139</v>
      </c>
      <c r="F74" s="1187" t="s">
        <v>162</v>
      </c>
    </row>
    <row r="75" spans="2:6" ht="14.25" customHeight="1">
      <c r="B75" s="1187" t="s">
        <v>1508</v>
      </c>
      <c r="C75" s="1187" t="s">
        <v>1506</v>
      </c>
      <c r="D75" s="1187">
        <v>0.76013498000000002</v>
      </c>
      <c r="E75" s="1187" t="s">
        <v>139</v>
      </c>
      <c r="F75" s="1187" t="s">
        <v>162</v>
      </c>
    </row>
    <row r="76" spans="2:6" ht="14.25" customHeight="1">
      <c r="B76" s="1187" t="s">
        <v>1564</v>
      </c>
      <c r="C76" s="1187" t="s">
        <v>1518</v>
      </c>
      <c r="D76" s="1187">
        <v>0.61990725000000002</v>
      </c>
      <c r="E76" s="1187" t="s">
        <v>139</v>
      </c>
      <c r="F76" s="1187" t="s">
        <v>162</v>
      </c>
    </row>
    <row r="77" spans="2:6" ht="14.25" customHeight="1">
      <c r="B77" s="1187" t="s">
        <v>1560</v>
      </c>
      <c r="C77" s="1187" t="s">
        <v>1346</v>
      </c>
      <c r="D77" s="1187">
        <v>0.19453124999999999</v>
      </c>
      <c r="E77" s="1187" t="s">
        <v>139</v>
      </c>
      <c r="F77" s="1187" t="s">
        <v>162</v>
      </c>
    </row>
    <row r="78" spans="2:6" ht="14.25" customHeight="1">
      <c r="B78" s="1187" t="s">
        <v>1560</v>
      </c>
      <c r="C78" s="1187" t="s">
        <v>1344</v>
      </c>
      <c r="D78" s="1187">
        <v>0.19453124999999999</v>
      </c>
      <c r="E78" s="1187" t="s">
        <v>139</v>
      </c>
      <c r="F78" s="1187" t="s">
        <v>162</v>
      </c>
    </row>
    <row r="79" spans="2:6" ht="14.25" customHeight="1">
      <c r="B79" s="1187" t="s">
        <v>1560</v>
      </c>
      <c r="C79" s="1187" t="s">
        <v>1361</v>
      </c>
      <c r="D79" s="1187">
        <v>0.19453124999999999</v>
      </c>
      <c r="E79" s="1187" t="s">
        <v>139</v>
      </c>
      <c r="F79" s="1187" t="s">
        <v>162</v>
      </c>
    </row>
    <row r="80" spans="2:6" ht="14.25" customHeight="1">
      <c r="B80" s="1187" t="s">
        <v>1508</v>
      </c>
      <c r="C80" s="1187" t="s">
        <v>1527</v>
      </c>
      <c r="D80" s="1187">
        <v>0.13485942000000001</v>
      </c>
      <c r="E80" s="1187" t="s">
        <v>139</v>
      </c>
      <c r="F80" s="1187" t="s">
        <v>162</v>
      </c>
    </row>
    <row r="81" spans="2:6" ht="14.25" customHeight="1">
      <c r="B81" s="1187" t="s">
        <v>1508</v>
      </c>
      <c r="C81" s="1187" t="s">
        <v>1358</v>
      </c>
      <c r="D81" s="1187">
        <v>0.12845959000000001</v>
      </c>
      <c r="E81" s="1187" t="s">
        <v>139</v>
      </c>
      <c r="F81" s="1187" t="s">
        <v>162</v>
      </c>
    </row>
    <row r="82" spans="2:6" ht="14.25" customHeight="1">
      <c r="B82" s="1187" t="s">
        <v>1508</v>
      </c>
      <c r="C82" s="1187" t="s">
        <v>1356</v>
      </c>
      <c r="D82" s="1187">
        <v>0.12845959000000001</v>
      </c>
      <c r="E82" s="1187" t="s">
        <v>139</v>
      </c>
      <c r="F82" s="1187" t="s">
        <v>162</v>
      </c>
    </row>
    <row r="83" spans="2:6" ht="14.25" customHeight="1">
      <c r="B83" s="1187" t="s">
        <v>1508</v>
      </c>
      <c r="C83" s="1187" t="s">
        <v>1561</v>
      </c>
      <c r="D83" s="1187">
        <v>0.10985246</v>
      </c>
      <c r="E83" s="1187" t="s">
        <v>139</v>
      </c>
      <c r="F83" s="1187" t="s">
        <v>162</v>
      </c>
    </row>
    <row r="84" spans="2:6" ht="14.25" customHeight="1">
      <c r="B84" s="1187" t="s">
        <v>1508</v>
      </c>
      <c r="C84" s="1187" t="s">
        <v>1529</v>
      </c>
      <c r="D84" s="1187">
        <v>0.10858697</v>
      </c>
      <c r="E84" s="1187" t="s">
        <v>139</v>
      </c>
      <c r="F84" s="1187" t="s">
        <v>162</v>
      </c>
    </row>
    <row r="85" spans="2:6" ht="14.25" customHeight="1">
      <c r="B85" s="1187" t="s">
        <v>1508</v>
      </c>
      <c r="C85" s="1187" t="s">
        <v>1364</v>
      </c>
      <c r="D85" s="1187">
        <v>0.10181133000000001</v>
      </c>
      <c r="E85" s="1187" t="s">
        <v>139</v>
      </c>
      <c r="F85" s="1187" t="s">
        <v>162</v>
      </c>
    </row>
    <row r="86" spans="2:6" ht="14.25" customHeight="1">
      <c r="B86" s="1187" t="s">
        <v>1508</v>
      </c>
      <c r="C86" s="1187" t="s">
        <v>1562</v>
      </c>
      <c r="D86" s="1187">
        <v>9.0601144999999994E-2</v>
      </c>
      <c r="E86" s="1187" t="s">
        <v>139</v>
      </c>
      <c r="F86" s="1187" t="s">
        <v>162</v>
      </c>
    </row>
    <row r="87" spans="2:6" ht="14.25" customHeight="1">
      <c r="B87" s="1187" t="s">
        <v>1508</v>
      </c>
      <c r="C87" s="1187" t="s">
        <v>1361</v>
      </c>
      <c r="D87" s="1187">
        <v>7.4860113000000006E-2</v>
      </c>
      <c r="E87" s="1187" t="s">
        <v>139</v>
      </c>
      <c r="F87" s="1187" t="s">
        <v>162</v>
      </c>
    </row>
    <row r="88" spans="2:6" ht="14.25" customHeight="1">
      <c r="B88" s="1187" t="s">
        <v>1508</v>
      </c>
      <c r="C88" s="1187" t="s">
        <v>1563</v>
      </c>
      <c r="D88" s="1187">
        <v>7.3596639000000005E-2</v>
      </c>
      <c r="E88" s="1187" t="s">
        <v>139</v>
      </c>
      <c r="F88" s="1187" t="s">
        <v>162</v>
      </c>
    </row>
    <row r="89" spans="2:6" ht="14.25" customHeight="1">
      <c r="B89" s="1187" t="s">
        <v>1519</v>
      </c>
      <c r="C89" s="1187" t="s">
        <v>1518</v>
      </c>
      <c r="D89" s="1187">
        <v>5.9435494999999998E-2</v>
      </c>
      <c r="E89" s="1187" t="s">
        <v>139</v>
      </c>
      <c r="F89" s="1187" t="s">
        <v>162</v>
      </c>
    </row>
    <row r="90" spans="2:6" ht="14.25" customHeight="1">
      <c r="B90" s="1187" t="s">
        <v>1508</v>
      </c>
      <c r="C90" s="1187" t="s">
        <v>1565</v>
      </c>
      <c r="D90" s="1187">
        <v>3.9131279999999997E-2</v>
      </c>
      <c r="E90" s="1187" t="s">
        <v>139</v>
      </c>
      <c r="F90" s="1187" t="s">
        <v>162</v>
      </c>
    </row>
    <row r="91" spans="2:6" ht="14.25" customHeight="1">
      <c r="B91" s="1187" t="s">
        <v>1508</v>
      </c>
      <c r="C91" s="1187" t="s">
        <v>1566</v>
      </c>
      <c r="D91" s="1187">
        <v>3.9131279999999997E-2</v>
      </c>
      <c r="E91" s="1187" t="s">
        <v>139</v>
      </c>
      <c r="F91" s="1187" t="s">
        <v>162</v>
      </c>
    </row>
    <row r="92" spans="2:6" ht="14.25" customHeight="1">
      <c r="B92" s="1187" t="s">
        <v>1508</v>
      </c>
      <c r="C92" s="1187" t="s">
        <v>1525</v>
      </c>
      <c r="D92" s="1187">
        <v>3.9131279999999997E-2</v>
      </c>
      <c r="E92" s="1187" t="s">
        <v>139</v>
      </c>
      <c r="F92" s="1187" t="s">
        <v>162</v>
      </c>
    </row>
    <row r="93" spans="2:6" ht="14.25" customHeight="1">
      <c r="B93" s="1187" t="s">
        <v>1499</v>
      </c>
      <c r="C93" s="1187" t="s">
        <v>1567</v>
      </c>
      <c r="D93" s="1187">
        <v>5.6360894999999995E-4</v>
      </c>
      <c r="E93" s="1187" t="s">
        <v>126</v>
      </c>
      <c r="F93" s="1187" t="s">
        <v>162</v>
      </c>
    </row>
    <row r="94" spans="2:6" ht="14.25" customHeight="1">
      <c r="B94" s="1187" t="s">
        <v>1512</v>
      </c>
      <c r="C94" s="1187" t="s">
        <v>1358</v>
      </c>
      <c r="D94" s="1187">
        <v>0</v>
      </c>
      <c r="E94" s="1187" t="s">
        <v>139</v>
      </c>
      <c r="F94" s="1187" t="s">
        <v>162</v>
      </c>
    </row>
    <row r="95" spans="2:6" ht="14.25" customHeight="1">
      <c r="B95" s="1187" t="s">
        <v>1512</v>
      </c>
      <c r="C95" s="1187" t="s">
        <v>1356</v>
      </c>
      <c r="D95" s="1187">
        <v>0</v>
      </c>
      <c r="E95" s="1187" t="s">
        <v>139</v>
      </c>
      <c r="F95" s="1187" t="s">
        <v>162</v>
      </c>
    </row>
    <row r="96" spans="2:6" ht="14.25" customHeight="1">
      <c r="B96" s="1187" t="s">
        <v>1512</v>
      </c>
      <c r="C96" s="1187" t="s">
        <v>1562</v>
      </c>
      <c r="D96" s="1187">
        <v>0</v>
      </c>
      <c r="E96" s="1187" t="s">
        <v>139</v>
      </c>
      <c r="F96" s="1187" t="s">
        <v>162</v>
      </c>
    </row>
    <row r="97" spans="2:6" ht="14.25" customHeight="1">
      <c r="B97" s="1187" t="s">
        <v>1512</v>
      </c>
      <c r="C97" s="1187" t="s">
        <v>1563</v>
      </c>
      <c r="D97" s="1187">
        <v>0</v>
      </c>
      <c r="E97" s="1187" t="s">
        <v>139</v>
      </c>
      <c r="F97" s="1187" t="s">
        <v>162</v>
      </c>
    </row>
    <row r="98" spans="2:6" ht="14.25" customHeight="1">
      <c r="B98" s="1187" t="s">
        <v>1512</v>
      </c>
      <c r="C98" s="1187" t="s">
        <v>1527</v>
      </c>
      <c r="D98" s="1187">
        <v>0</v>
      </c>
      <c r="E98" s="1187" t="s">
        <v>139</v>
      </c>
      <c r="F98" s="1187" t="s">
        <v>162</v>
      </c>
    </row>
    <row r="99" spans="2:6" ht="14.25" customHeight="1">
      <c r="B99" s="1187" t="s">
        <v>1512</v>
      </c>
      <c r="C99" s="1187" t="s">
        <v>1561</v>
      </c>
      <c r="D99" s="1187">
        <v>0</v>
      </c>
      <c r="E99" s="1187" t="s">
        <v>139</v>
      </c>
      <c r="F99" s="1187" t="s">
        <v>162</v>
      </c>
    </row>
    <row r="100" spans="2:6" ht="14.25" customHeight="1">
      <c r="B100" s="1187" t="s">
        <v>1512</v>
      </c>
      <c r="C100" s="1187" t="s">
        <v>1529</v>
      </c>
      <c r="D100" s="1187">
        <v>0</v>
      </c>
      <c r="E100" s="1187" t="s">
        <v>139</v>
      </c>
      <c r="F100" s="1187" t="s">
        <v>162</v>
      </c>
    </row>
    <row r="101" spans="2:6" ht="14.25" customHeight="1">
      <c r="B101" s="1187" t="s">
        <v>1512</v>
      </c>
      <c r="C101" s="1187" t="s">
        <v>1364</v>
      </c>
      <c r="D101" s="1187">
        <v>0</v>
      </c>
      <c r="E101" s="1187" t="s">
        <v>139</v>
      </c>
      <c r="F101" s="1187" t="s">
        <v>162</v>
      </c>
    </row>
    <row r="102" spans="2:6" ht="14.25" customHeight="1">
      <c r="B102" s="1187" t="s">
        <v>1512</v>
      </c>
      <c r="C102" s="1187" t="s">
        <v>1346</v>
      </c>
      <c r="D102" s="1187">
        <v>0</v>
      </c>
      <c r="E102" s="1187" t="s">
        <v>139</v>
      </c>
      <c r="F102" s="1187" t="s">
        <v>1559</v>
      </c>
    </row>
    <row r="103" spans="2:6" ht="14.25" customHeight="1">
      <c r="B103" s="1187" t="s">
        <v>1512</v>
      </c>
      <c r="C103" s="1187" t="s">
        <v>1344</v>
      </c>
      <c r="D103" s="1187">
        <v>0</v>
      </c>
      <c r="E103" s="1187" t="s">
        <v>139</v>
      </c>
      <c r="F103" s="1187" t="s">
        <v>162</v>
      </c>
    </row>
    <row r="104" spans="2:6" ht="14.25" customHeight="1">
      <c r="B104" s="1187" t="s">
        <v>1512</v>
      </c>
      <c r="C104" s="1187" t="s">
        <v>1565</v>
      </c>
      <c r="D104" s="1187">
        <v>0</v>
      </c>
      <c r="E104" s="1187" t="s">
        <v>139</v>
      </c>
      <c r="F104" s="1187" t="s">
        <v>162</v>
      </c>
    </row>
    <row r="105" spans="2:6" ht="14.25" customHeight="1">
      <c r="B105" s="1187" t="s">
        <v>1512</v>
      </c>
      <c r="C105" s="1187" t="s">
        <v>1566</v>
      </c>
      <c r="D105" s="1187">
        <v>0</v>
      </c>
      <c r="E105" s="1187" t="s">
        <v>139</v>
      </c>
      <c r="F105" s="1187" t="s">
        <v>1559</v>
      </c>
    </row>
    <row r="106" spans="2:6" ht="14.25" customHeight="1">
      <c r="B106" s="1187" t="s">
        <v>1512</v>
      </c>
      <c r="C106" s="1187" t="s">
        <v>1525</v>
      </c>
      <c r="D106" s="1187">
        <v>0</v>
      </c>
      <c r="E106" s="1187" t="s">
        <v>139</v>
      </c>
      <c r="F106" s="1187" t="s">
        <v>1559</v>
      </c>
    </row>
    <row r="107" spans="2:6" ht="14.25" customHeight="1">
      <c r="B107" s="1187" t="s">
        <v>1512</v>
      </c>
      <c r="C107" s="1187" t="s">
        <v>1361</v>
      </c>
      <c r="D107" s="1187">
        <v>0</v>
      </c>
      <c r="E107" s="1187" t="s">
        <v>139</v>
      </c>
      <c r="F107" s="1187" t="s">
        <v>1559</v>
      </c>
    </row>
  </sheetData>
  <mergeCells count="29">
    <mergeCell ref="B53:C53"/>
    <mergeCell ref="H53:P53"/>
    <mergeCell ref="B54:C54"/>
    <mergeCell ref="H54:P54"/>
    <mergeCell ref="B55:C55"/>
    <mergeCell ref="H55:P55"/>
    <mergeCell ref="B56:C56"/>
    <mergeCell ref="B57:C57"/>
    <mergeCell ref="B58:C58"/>
    <mergeCell ref="F62:H62"/>
    <mergeCell ref="H57:P57"/>
    <mergeCell ref="H58:P58"/>
    <mergeCell ref="H56:P56"/>
    <mergeCell ref="E27:E31"/>
    <mergeCell ref="B34:M34"/>
    <mergeCell ref="B50:P50"/>
    <mergeCell ref="B51:C51"/>
    <mergeCell ref="B52:C52"/>
    <mergeCell ref="R16:U16"/>
    <mergeCell ref="R17:U17"/>
    <mergeCell ref="H51:P51"/>
    <mergeCell ref="H52:P52"/>
    <mergeCell ref="R18:U18"/>
    <mergeCell ref="R19:U19"/>
    <mergeCell ref="B3:O5"/>
    <mergeCell ref="R3:S3"/>
    <mergeCell ref="C9:O10"/>
    <mergeCell ref="B12:M12"/>
    <mergeCell ref="R15:U15"/>
  </mergeCells>
  <hyperlinks>
    <hyperlink ref="V19" r:id="rId1" xr:uid="{00000000-0004-0000-0E00-000000000000}"/>
  </hyperlinks>
  <pageMargins left="0.7" right="0.7" top="0.75" bottom="0.75" header="0" footer="0"/>
  <pageSetup orientation="landscape"/>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FF"/>
  </sheetPr>
  <dimension ref="A1:R252"/>
  <sheetViews>
    <sheetView showGridLines="0" workbookViewId="0">
      <selection sqref="A1:F1"/>
    </sheetView>
  </sheetViews>
  <sheetFormatPr baseColWidth="10" defaultColWidth="12.6640625" defaultRowHeight="15" customHeight="1"/>
  <cols>
    <col min="1" max="1" width="19.33203125" customWidth="1"/>
    <col min="2" max="2" width="46.6640625" customWidth="1"/>
    <col min="3" max="21" width="19.33203125" customWidth="1"/>
  </cols>
  <sheetData>
    <row r="1" spans="1:18" ht="14.25" customHeight="1">
      <c r="A1" s="1569" t="s">
        <v>580</v>
      </c>
      <c r="B1" s="1463"/>
      <c r="C1" s="1463"/>
      <c r="D1" s="1463"/>
      <c r="E1" s="1463"/>
      <c r="F1" s="1464"/>
      <c r="G1" s="429"/>
      <c r="H1" s="429"/>
      <c r="I1" s="429"/>
      <c r="J1" s="429"/>
      <c r="K1" s="429"/>
      <c r="L1" s="429"/>
      <c r="M1" s="589"/>
      <c r="N1" s="429"/>
      <c r="O1" s="429"/>
      <c r="P1" s="429"/>
      <c r="Q1" s="429"/>
      <c r="R1" s="429"/>
    </row>
    <row r="2" spans="1:18" ht="14.25" customHeight="1">
      <c r="A2" s="591"/>
      <c r="B2" s="431"/>
      <c r="C2" s="431"/>
      <c r="D2" s="653"/>
      <c r="E2" s="431"/>
      <c r="F2" s="431"/>
      <c r="G2" s="431"/>
      <c r="H2" s="431"/>
      <c r="I2" s="431"/>
      <c r="J2" s="431"/>
      <c r="K2" s="431"/>
      <c r="L2" s="431"/>
      <c r="M2" s="591"/>
      <c r="N2" s="431"/>
      <c r="O2" s="431"/>
      <c r="P2" s="431"/>
      <c r="Q2" s="431"/>
      <c r="R2" s="431"/>
    </row>
    <row r="3" spans="1:18" ht="14.25" customHeight="1">
      <c r="A3" s="1450" t="s">
        <v>1568</v>
      </c>
      <c r="B3" s="1451"/>
      <c r="C3" s="1451"/>
      <c r="D3" s="1451"/>
      <c r="E3" s="1451"/>
      <c r="F3" s="1451"/>
      <c r="G3" s="1451"/>
      <c r="H3" s="1451"/>
      <c r="I3" s="1451"/>
      <c r="J3" s="1451"/>
      <c r="K3" s="1451"/>
      <c r="L3" s="1451"/>
      <c r="M3" s="1451"/>
      <c r="N3" s="1451"/>
      <c r="O3" s="1451"/>
      <c r="P3" s="1451"/>
      <c r="Q3" s="1451"/>
      <c r="R3" s="1452"/>
    </row>
    <row r="4" spans="1:18" ht="15" customHeight="1">
      <c r="A4" s="1471"/>
      <c r="B4" s="1396"/>
      <c r="C4" s="1396"/>
      <c r="D4" s="1396"/>
      <c r="E4" s="1396"/>
      <c r="F4" s="1396"/>
      <c r="G4" s="1396"/>
      <c r="H4" s="1396"/>
      <c r="I4" s="1396"/>
      <c r="J4" s="1396"/>
      <c r="K4" s="1396"/>
      <c r="L4" s="1396"/>
      <c r="M4" s="1396"/>
      <c r="N4" s="1396"/>
      <c r="O4" s="1396"/>
      <c r="P4" s="1396"/>
      <c r="Q4" s="1396"/>
      <c r="R4" s="1472"/>
    </row>
    <row r="5" spans="1:18" ht="66" customHeight="1">
      <c r="A5" s="1453"/>
      <c r="B5" s="1454"/>
      <c r="C5" s="1454"/>
      <c r="D5" s="1454"/>
      <c r="E5" s="1454"/>
      <c r="F5" s="1454"/>
      <c r="G5" s="1454"/>
      <c r="H5" s="1454"/>
      <c r="I5" s="1454"/>
      <c r="J5" s="1454"/>
      <c r="K5" s="1454"/>
      <c r="L5" s="1454"/>
      <c r="M5" s="1454"/>
      <c r="N5" s="1454"/>
      <c r="O5" s="1454"/>
      <c r="P5" s="1454"/>
      <c r="Q5" s="1454"/>
      <c r="R5" s="1455"/>
    </row>
    <row r="6" spans="1:18" ht="19.5" customHeight="1">
      <c r="A6" s="594"/>
      <c r="B6" s="435"/>
      <c r="C6" s="435"/>
      <c r="D6" s="655"/>
      <c r="E6" s="435"/>
      <c r="F6" s="431"/>
      <c r="G6" s="431"/>
      <c r="H6" s="431"/>
      <c r="I6" s="656"/>
      <c r="J6" s="431"/>
      <c r="K6" s="431"/>
      <c r="L6" s="431"/>
      <c r="M6" s="591"/>
      <c r="N6" s="431"/>
      <c r="O6" s="431"/>
      <c r="P6" s="431"/>
      <c r="Q6" s="431"/>
      <c r="R6" s="431"/>
    </row>
    <row r="7" spans="1:18" ht="19.5" customHeight="1">
      <c r="A7" s="1190"/>
      <c r="B7" s="1191" t="s">
        <v>426</v>
      </c>
      <c r="C7" s="1192" t="s">
        <v>582</v>
      </c>
      <c r="D7" s="1193"/>
      <c r="E7" s="1194"/>
      <c r="F7" s="1195"/>
      <c r="G7" s="1195"/>
      <c r="H7" s="1195"/>
      <c r="I7" s="1195"/>
      <c r="J7" s="1195"/>
      <c r="K7" s="1195"/>
      <c r="L7" s="1195"/>
      <c r="M7" s="1196"/>
      <c r="N7" s="1195"/>
      <c r="O7" s="1195"/>
      <c r="P7" s="1195"/>
      <c r="Q7" s="1195"/>
      <c r="R7" s="1195"/>
    </row>
    <row r="8" spans="1:18" ht="19.5" customHeight="1">
      <c r="A8" s="1190"/>
      <c r="B8" s="1191" t="s">
        <v>583</v>
      </c>
      <c r="C8" s="1197" t="s">
        <v>584</v>
      </c>
      <c r="D8" s="1193"/>
      <c r="E8" s="1194"/>
      <c r="F8" s="1195"/>
      <c r="G8" s="1195"/>
      <c r="H8" s="1195"/>
      <c r="I8" s="1198"/>
      <c r="J8" s="1195"/>
      <c r="K8" s="1195"/>
      <c r="L8" s="1195"/>
      <c r="M8" s="1196"/>
      <c r="N8" s="1195"/>
      <c r="O8" s="1195"/>
      <c r="P8" s="1195"/>
      <c r="Q8" s="1195"/>
      <c r="R8" s="1195"/>
    </row>
    <row r="9" spans="1:18" ht="19.5" customHeight="1">
      <c r="A9" s="1190"/>
      <c r="B9" s="1191"/>
      <c r="C9" s="1197" t="s">
        <v>585</v>
      </c>
      <c r="D9" s="1193"/>
      <c r="E9" s="1194"/>
      <c r="F9" s="1195"/>
      <c r="G9" s="1195"/>
      <c r="H9" s="1195"/>
      <c r="I9" s="1199"/>
      <c r="J9" s="1195"/>
      <c r="K9" s="1195"/>
      <c r="L9" s="1195"/>
      <c r="M9" s="1196"/>
      <c r="N9" s="1195"/>
      <c r="O9" s="1195"/>
      <c r="P9" s="1195"/>
      <c r="Q9" s="1195"/>
      <c r="R9" s="1195"/>
    </row>
    <row r="10" spans="1:18" ht="19.5" customHeight="1">
      <c r="A10" s="1190"/>
      <c r="B10" s="1191"/>
      <c r="C10" s="1197" t="s">
        <v>586</v>
      </c>
      <c r="D10" s="1193"/>
      <c r="E10" s="1194"/>
      <c r="F10" s="1195"/>
      <c r="G10" s="1195"/>
      <c r="H10" s="1195"/>
      <c r="I10" s="1195"/>
      <c r="J10" s="1195"/>
      <c r="K10" s="1195"/>
      <c r="L10" s="1195"/>
      <c r="M10" s="1196"/>
      <c r="N10" s="1195"/>
      <c r="O10" s="1195"/>
      <c r="P10" s="1195"/>
      <c r="Q10" s="1195"/>
      <c r="R10" s="1195"/>
    </row>
    <row r="11" spans="1:18" ht="15" customHeight="1">
      <c r="H11" s="665"/>
      <c r="I11" s="431"/>
      <c r="J11" s="431"/>
      <c r="K11" s="431"/>
      <c r="L11" s="431"/>
      <c r="M11" s="591"/>
      <c r="N11" s="431"/>
      <c r="O11" s="431"/>
      <c r="P11" s="431"/>
      <c r="Q11" s="431"/>
      <c r="R11" s="431"/>
    </row>
    <row r="12" spans="1:18" ht="14.25" customHeight="1">
      <c r="H12" s="464"/>
      <c r="I12" s="464"/>
      <c r="J12" s="464"/>
      <c r="K12" s="464"/>
      <c r="L12" s="464"/>
      <c r="M12" s="464"/>
      <c r="N12" s="434"/>
      <c r="O12" s="434"/>
      <c r="P12" s="434"/>
      <c r="Q12" s="434"/>
      <c r="R12" s="434"/>
    </row>
    <row r="13" spans="1:18" ht="14.25" customHeight="1">
      <c r="A13" s="1570">
        <v>2021</v>
      </c>
      <c r="B13" s="1434"/>
      <c r="C13" s="1434"/>
      <c r="D13" s="1434"/>
      <c r="E13" s="1435"/>
      <c r="F13" s="1200"/>
      <c r="G13" s="1570">
        <v>2022</v>
      </c>
      <c r="H13" s="1434"/>
      <c r="I13" s="1434"/>
      <c r="J13" s="1434"/>
      <c r="K13" s="1435"/>
      <c r="L13" s="1200"/>
      <c r="M13" s="431"/>
      <c r="N13" s="431"/>
    </row>
    <row r="14" spans="1:18" ht="14.25" customHeight="1">
      <c r="A14" s="1201" t="s">
        <v>592</v>
      </c>
      <c r="B14" s="1201" t="s">
        <v>1569</v>
      </c>
      <c r="C14" s="1201" t="s">
        <v>1570</v>
      </c>
      <c r="D14" s="1119" t="s">
        <v>437</v>
      </c>
      <c r="E14" s="1119" t="s">
        <v>594</v>
      </c>
      <c r="F14" s="1200"/>
      <c r="G14" s="1201" t="s">
        <v>592</v>
      </c>
      <c r="H14" s="1201" t="s">
        <v>385</v>
      </c>
      <c r="I14" s="1201" t="s">
        <v>387</v>
      </c>
      <c r="J14" s="1119" t="s">
        <v>437</v>
      </c>
      <c r="K14" s="1119" t="s">
        <v>594</v>
      </c>
      <c r="L14" s="1200"/>
      <c r="M14" s="1449" t="s">
        <v>227</v>
      </c>
      <c r="N14" s="1393"/>
    </row>
    <row r="15" spans="1:18" ht="14.25" customHeight="1">
      <c r="A15" s="1202" t="s">
        <v>1571</v>
      </c>
      <c r="B15" s="941">
        <v>1427472450</v>
      </c>
      <c r="C15" s="1203">
        <v>1880563</v>
      </c>
      <c r="D15" s="1204">
        <v>896.5</v>
      </c>
      <c r="E15" s="1205">
        <f t="shared" ref="E15:E16" si="0">B15/$B$17</f>
        <v>0.89662680676253848</v>
      </c>
      <c r="F15" s="1200"/>
      <c r="G15" s="1202" t="s">
        <v>1572</v>
      </c>
      <c r="H15" s="941">
        <f t="shared" ref="H15:H18" si="1">+SUMIF($J$23:$J$30,$G15,$K$23:$K$30)</f>
        <v>226659925</v>
      </c>
      <c r="I15" s="941">
        <f>L23+L24+L25</f>
        <v>265082</v>
      </c>
      <c r="J15" s="1204">
        <f t="shared" ref="J15:J18" si="2">+SUMIF($J$23:$J$30,$G15,$M$23:$M$30)</f>
        <v>114.62356950353998</v>
      </c>
      <c r="K15" s="1205">
        <f t="shared" ref="K15:K18" si="3">H15/$H$19</f>
        <v>0.13287348520666725</v>
      </c>
      <c r="L15" s="1200"/>
      <c r="M15" s="426">
        <v>2021</v>
      </c>
      <c r="N15" s="427">
        <v>32943152</v>
      </c>
    </row>
    <row r="16" spans="1:18" ht="14.25" customHeight="1">
      <c r="A16" s="1202" t="s">
        <v>1573</v>
      </c>
      <c r="B16" s="941">
        <v>164575032</v>
      </c>
      <c r="C16" s="1203">
        <v>216812</v>
      </c>
      <c r="D16" s="1204">
        <v>150.4</v>
      </c>
      <c r="E16" s="1205">
        <f t="shared" si="0"/>
        <v>0.1033731932374615</v>
      </c>
      <c r="F16" s="1200"/>
      <c r="G16" s="1202" t="s">
        <v>1574</v>
      </c>
      <c r="H16" s="941">
        <f t="shared" si="1"/>
        <v>539150331</v>
      </c>
      <c r="I16" s="941">
        <f>L26+L27</f>
        <v>631507</v>
      </c>
      <c r="J16" s="1204">
        <f t="shared" si="2"/>
        <v>296.77191519679997</v>
      </c>
      <c r="K16" s="1205">
        <f t="shared" si="3"/>
        <v>0.31606285729732886</v>
      </c>
      <c r="L16" s="1200"/>
      <c r="M16" s="426">
        <v>2022</v>
      </c>
      <c r="N16" s="427">
        <v>19105834</v>
      </c>
    </row>
    <row r="17" spans="1:13" ht="14.25" customHeight="1">
      <c r="A17" s="1206" t="s">
        <v>87</v>
      </c>
      <c r="B17" s="1207">
        <f t="shared" ref="B17:E17" si="4">B16+B15</f>
        <v>1592047482</v>
      </c>
      <c r="C17" s="1207">
        <f t="shared" si="4"/>
        <v>2097375</v>
      </c>
      <c r="D17" s="1207">
        <f t="shared" si="4"/>
        <v>1046.9000000000001</v>
      </c>
      <c r="E17" s="1208">
        <f t="shared" si="4"/>
        <v>1</v>
      </c>
      <c r="F17" s="1200"/>
      <c r="G17" s="1202" t="s">
        <v>1575</v>
      </c>
      <c r="H17" s="941">
        <f t="shared" si="1"/>
        <v>72995844</v>
      </c>
      <c r="I17" s="941">
        <f>L28+L30</f>
        <v>85732</v>
      </c>
      <c r="J17" s="1204">
        <f t="shared" si="2"/>
        <v>29.690330733839996</v>
      </c>
      <c r="K17" s="1205">
        <f t="shared" si="3"/>
        <v>4.2791914794298953E-2</v>
      </c>
      <c r="L17" s="1200"/>
      <c r="M17" s="1200"/>
    </row>
    <row r="18" spans="1:13" ht="14.25" customHeight="1">
      <c r="A18" s="450"/>
      <c r="B18" s="450"/>
      <c r="C18" s="450"/>
      <c r="D18" s="450"/>
      <c r="E18" s="450"/>
      <c r="F18" s="1200"/>
      <c r="G18" s="1202" t="s">
        <v>1571</v>
      </c>
      <c r="H18" s="941">
        <f t="shared" si="1"/>
        <v>867026517</v>
      </c>
      <c r="I18" s="941">
        <f>L29</f>
        <v>1016460</v>
      </c>
      <c r="J18" s="1204">
        <f t="shared" si="2"/>
        <v>484.56104787180004</v>
      </c>
      <c r="K18" s="1205">
        <f t="shared" si="3"/>
        <v>0.50827174270170494</v>
      </c>
      <c r="L18" s="1200"/>
      <c r="M18" s="1200"/>
    </row>
    <row r="19" spans="1:13" ht="14.25" customHeight="1">
      <c r="A19" s="1200"/>
      <c r="B19" s="1200"/>
      <c r="C19" s="1200"/>
      <c r="D19" s="1200"/>
      <c r="E19" s="1200"/>
      <c r="F19" s="1200"/>
      <c r="G19" s="1206" t="s">
        <v>87</v>
      </c>
      <c r="H19" s="1207">
        <f t="shared" ref="H19:K19" si="5">SUM(H15:H18)</f>
        <v>1705832617</v>
      </c>
      <c r="I19" s="1207">
        <f t="shared" si="5"/>
        <v>1998781</v>
      </c>
      <c r="J19" s="1207">
        <f t="shared" si="5"/>
        <v>925.64686330597988</v>
      </c>
      <c r="K19" s="1208">
        <f t="shared" si="5"/>
        <v>1</v>
      </c>
      <c r="L19" s="1200"/>
      <c r="M19" s="1200"/>
    </row>
    <row r="20" spans="1:13" ht="14.25" customHeight="1">
      <c r="A20" s="1200"/>
      <c r="B20" s="1200"/>
      <c r="C20" s="1200"/>
      <c r="D20" s="1200"/>
      <c r="E20" s="1200"/>
      <c r="F20" s="1200"/>
      <c r="G20" s="1200"/>
      <c r="H20" s="1209"/>
      <c r="I20" s="1200"/>
      <c r="J20" s="1200"/>
      <c r="K20" s="1200"/>
      <c r="L20" s="1200"/>
      <c r="M20" s="1200"/>
    </row>
    <row r="21" spans="1:13" ht="14.25" customHeight="1">
      <c r="A21" s="1200"/>
      <c r="B21" s="1200"/>
      <c r="C21" s="1200"/>
      <c r="D21" s="1200"/>
      <c r="E21" s="1200"/>
      <c r="F21" s="1200"/>
      <c r="G21" s="1553">
        <v>2022</v>
      </c>
      <c r="H21" s="1434"/>
      <c r="I21" s="1434"/>
      <c r="J21" s="1434"/>
      <c r="K21" s="1434"/>
      <c r="L21" s="1434"/>
      <c r="M21" s="1435"/>
    </row>
    <row r="22" spans="1:13" ht="14.25" customHeight="1">
      <c r="A22" s="1200"/>
      <c r="B22" s="1200"/>
      <c r="C22" s="1200"/>
      <c r="D22" s="1200"/>
      <c r="E22" s="1200"/>
      <c r="F22" s="1200"/>
      <c r="G22" s="1024" t="s">
        <v>712</v>
      </c>
      <c r="H22" s="1024" t="s">
        <v>713</v>
      </c>
      <c r="I22" s="1024" t="s">
        <v>714</v>
      </c>
      <c r="J22" s="1210" t="s">
        <v>715</v>
      </c>
      <c r="K22" s="1024" t="s">
        <v>716</v>
      </c>
      <c r="L22" s="1024" t="s">
        <v>717</v>
      </c>
      <c r="M22" s="1119" t="s">
        <v>437</v>
      </c>
    </row>
    <row r="23" spans="1:13" ht="14.25" customHeight="1">
      <c r="A23" s="1200"/>
      <c r="B23" s="1200"/>
      <c r="C23" s="1200"/>
      <c r="D23" s="1200"/>
      <c r="E23" s="1200"/>
      <c r="F23" s="1200"/>
      <c r="G23" s="1211">
        <v>521999</v>
      </c>
      <c r="H23" s="1212" t="s">
        <v>1576</v>
      </c>
      <c r="I23" s="1122" t="s">
        <v>1577</v>
      </c>
      <c r="J23" s="1213" t="s">
        <v>1572</v>
      </c>
      <c r="K23" s="1214">
        <v>21961084</v>
      </c>
      <c r="L23" s="1215">
        <v>27306</v>
      </c>
      <c r="M23" s="1216">
        <f>L23*VLOOKUP(J23,'Factores Emisión EDGE'!$K$168:$L$203,2,FALSE)/1000</f>
        <v>11.807332028819999</v>
      </c>
    </row>
    <row r="24" spans="1:13" ht="14.25" customHeight="1">
      <c r="A24" s="1200"/>
      <c r="B24" s="1200"/>
      <c r="C24" s="1200"/>
      <c r="D24" s="1200"/>
      <c r="E24" s="1200"/>
      <c r="F24" s="1200"/>
      <c r="G24" s="1211">
        <v>521999</v>
      </c>
      <c r="H24" s="1212" t="s">
        <v>1578</v>
      </c>
      <c r="I24" s="1122" t="s">
        <v>1577</v>
      </c>
      <c r="J24" s="1213" t="s">
        <v>1572</v>
      </c>
      <c r="K24" s="1214">
        <v>161464113</v>
      </c>
      <c r="L24" s="1215">
        <v>185380</v>
      </c>
      <c r="M24" s="1216">
        <f>L24*VLOOKUP(J24,'Factores Emisión EDGE'!$K$168:$L$203,2,FALSE)/1000</f>
        <v>80.15978947859999</v>
      </c>
    </row>
    <row r="25" spans="1:13" ht="14.25" customHeight="1">
      <c r="A25" s="1200"/>
      <c r="B25" s="1200"/>
      <c r="C25" s="1200"/>
      <c r="D25" s="1200"/>
      <c r="E25" s="1200"/>
      <c r="F25" s="1200"/>
      <c r="G25" s="1211">
        <v>521999</v>
      </c>
      <c r="H25" s="1212" t="s">
        <v>1579</v>
      </c>
      <c r="I25" s="1122" t="s">
        <v>1577</v>
      </c>
      <c r="J25" s="1213" t="s">
        <v>1572</v>
      </c>
      <c r="K25" s="1214">
        <v>43234728</v>
      </c>
      <c r="L25" s="1215">
        <v>52396</v>
      </c>
      <c r="M25" s="1216">
        <f>L25*VLOOKUP(J25,'Factores Emisión EDGE'!$K$168:$L$203,2,FALSE)/1000</f>
        <v>22.656447996119997</v>
      </c>
    </row>
    <row r="26" spans="1:13" ht="14.25" customHeight="1">
      <c r="A26" s="1200"/>
      <c r="B26" s="1200"/>
      <c r="C26" s="1200"/>
      <c r="D26" s="1200"/>
      <c r="E26" s="1200"/>
      <c r="F26" s="1200"/>
      <c r="G26" s="1211">
        <v>521999</v>
      </c>
      <c r="H26" s="1212" t="s">
        <v>1580</v>
      </c>
      <c r="I26" s="1122" t="s">
        <v>1577</v>
      </c>
      <c r="J26" s="1213" t="s">
        <v>1574</v>
      </c>
      <c r="K26" s="1214">
        <v>97687209</v>
      </c>
      <c r="L26" s="1217">
        <v>143004</v>
      </c>
      <c r="M26" s="1216">
        <f>L26*VLOOKUP(J26,'Factores Emisión EDGE'!$K$168:$L$203,2,FALSE)/1000</f>
        <v>67.203642969599997</v>
      </c>
    </row>
    <row r="27" spans="1:13" ht="14.25" customHeight="1">
      <c r="A27" s="1200"/>
      <c r="B27" s="1200"/>
      <c r="C27" s="1200"/>
      <c r="D27" s="1200"/>
      <c r="E27" s="1200"/>
      <c r="F27" s="1200"/>
      <c r="G27" s="1211">
        <v>521999</v>
      </c>
      <c r="H27" s="1212" t="s">
        <v>1581</v>
      </c>
      <c r="I27" s="1122" t="s">
        <v>1577</v>
      </c>
      <c r="J27" s="1213" t="s">
        <v>1574</v>
      </c>
      <c r="K27" s="1214">
        <v>441463122</v>
      </c>
      <c r="L27" s="1217">
        <v>488503</v>
      </c>
      <c r="M27" s="1216">
        <f>L27*VLOOKUP(J27,'Factores Emisión EDGE'!$K$168:$L$203,2,FALSE)/1000</f>
        <v>229.56827222719997</v>
      </c>
    </row>
    <row r="28" spans="1:13" ht="14.25" customHeight="1">
      <c r="A28" s="1200"/>
      <c r="B28" s="1200"/>
      <c r="C28" s="1200"/>
      <c r="D28" s="1200"/>
      <c r="E28" s="1200"/>
      <c r="F28" s="1200"/>
      <c r="G28" s="1211">
        <v>521999</v>
      </c>
      <c r="H28" s="1212" t="s">
        <v>1582</v>
      </c>
      <c r="I28" s="1122" t="s">
        <v>1577</v>
      </c>
      <c r="J28" s="1213" t="s">
        <v>1575</v>
      </c>
      <c r="K28" s="1214">
        <v>684900</v>
      </c>
      <c r="L28" s="1217">
        <v>833</v>
      </c>
      <c r="M28" s="1216">
        <f>L28*VLOOKUP(J28,'Factores Emisión EDGE'!$K$168:$L$203,2,FALSE)/1000</f>
        <v>0.28848091145999999</v>
      </c>
    </row>
    <row r="29" spans="1:13" ht="14.25" customHeight="1">
      <c r="A29" s="1200"/>
      <c r="B29" s="1200"/>
      <c r="C29" s="1200"/>
      <c r="D29" s="1200"/>
      <c r="E29" s="1200"/>
      <c r="F29" s="1200"/>
      <c r="G29" s="1211">
        <v>521999</v>
      </c>
      <c r="H29" s="1212" t="s">
        <v>1583</v>
      </c>
      <c r="I29" s="1122" t="s">
        <v>1577</v>
      </c>
      <c r="J29" s="1213" t="s">
        <v>1571</v>
      </c>
      <c r="K29" s="1214">
        <v>867026517</v>
      </c>
      <c r="L29" s="1217">
        <v>1016460</v>
      </c>
      <c r="M29" s="1216">
        <f>L29*VLOOKUP(J29,'Factores Emisión EDGE'!$K$168:$L$203,2,FALSE)/1000</f>
        <v>484.56104787180004</v>
      </c>
    </row>
    <row r="30" spans="1:13" ht="14.25" customHeight="1">
      <c r="A30" s="1200"/>
      <c r="B30" s="1200"/>
      <c r="C30" s="1200"/>
      <c r="D30" s="1200"/>
      <c r="E30" s="1200"/>
      <c r="F30" s="1200"/>
      <c r="G30" s="1211">
        <v>521999</v>
      </c>
      <c r="H30" s="1212" t="s">
        <v>1584</v>
      </c>
      <c r="I30" s="1122" t="s">
        <v>1577</v>
      </c>
      <c r="J30" s="1213" t="s">
        <v>1575</v>
      </c>
      <c r="K30" s="1214">
        <v>72310944</v>
      </c>
      <c r="L30" s="1217">
        <v>84899</v>
      </c>
      <c r="M30" s="1216">
        <f>L30*VLOOKUP(J30,'Factores Emisión EDGE'!$K$168:$L$203,2,FALSE)/1000</f>
        <v>29.401849822379997</v>
      </c>
    </row>
    <row r="31" spans="1:13" ht="14.25" customHeight="1">
      <c r="A31" s="1200"/>
      <c r="B31" s="1200"/>
      <c r="C31" s="1200"/>
      <c r="D31" s="1200"/>
      <c r="E31" s="1200"/>
      <c r="F31" s="1200"/>
      <c r="G31" s="896"/>
      <c r="H31" s="896"/>
      <c r="I31" s="896"/>
      <c r="J31" s="896"/>
      <c r="K31" s="1207">
        <f>+SUM(K23:K30)</f>
        <v>1705832617</v>
      </c>
      <c r="L31" s="1218">
        <f>SUM(L23:L30)</f>
        <v>1998781</v>
      </c>
      <c r="M31" s="1155">
        <f>+SUM(M23:M30)</f>
        <v>925.64686330597988</v>
      </c>
    </row>
    <row r="34" spans="1:15" ht="14.25" customHeight="1">
      <c r="A34" s="1520" t="s">
        <v>468</v>
      </c>
      <c r="B34" s="1434"/>
      <c r="C34" s="1434"/>
      <c r="D34" s="1434"/>
      <c r="E34" s="1434"/>
      <c r="F34" s="1434"/>
      <c r="G34" s="1434"/>
      <c r="H34" s="1434"/>
      <c r="I34" s="1434"/>
      <c r="J34" s="1434"/>
      <c r="K34" s="1434"/>
      <c r="L34" s="1434"/>
      <c r="M34" s="1434"/>
      <c r="N34" s="1434"/>
      <c r="O34" s="1435"/>
    </row>
    <row r="35" spans="1:15" ht="14.25" customHeight="1">
      <c r="A35" s="1553" t="s">
        <v>875</v>
      </c>
      <c r="B35" s="1435"/>
      <c r="C35" s="1024">
        <v>2021</v>
      </c>
      <c r="D35" s="1024">
        <v>2022</v>
      </c>
      <c r="E35" s="1024" t="s">
        <v>8</v>
      </c>
      <c r="F35" s="1024" t="s">
        <v>257</v>
      </c>
      <c r="G35" s="1553" t="s">
        <v>877</v>
      </c>
      <c r="H35" s="1434"/>
      <c r="I35" s="1434"/>
      <c r="J35" s="1434"/>
      <c r="K35" s="1434"/>
      <c r="L35" s="1434"/>
      <c r="M35" s="1434"/>
      <c r="N35" s="1434"/>
      <c r="O35" s="1435"/>
    </row>
    <row r="36" spans="1:15" ht="14.25" customHeight="1">
      <c r="A36" s="1561" t="s">
        <v>1585</v>
      </c>
      <c r="B36" s="1435"/>
      <c r="C36" s="1166">
        <f>B17</f>
        <v>1592047482</v>
      </c>
      <c r="D36" s="1166">
        <f>H19</f>
        <v>1705832617</v>
      </c>
      <c r="E36" s="1167">
        <f t="shared" ref="E36:E41" si="6">D36-C36</f>
        <v>113785135</v>
      </c>
      <c r="F36" s="1168">
        <f t="shared" ref="F36:F41" si="7">E36/C36</f>
        <v>7.1470943100929454E-2</v>
      </c>
      <c r="G36" s="1559"/>
      <c r="H36" s="1434"/>
      <c r="I36" s="1434"/>
      <c r="J36" s="1434"/>
      <c r="K36" s="1434"/>
      <c r="L36" s="1434"/>
      <c r="M36" s="1434"/>
      <c r="N36" s="1434"/>
      <c r="O36" s="1435"/>
    </row>
    <row r="37" spans="1:15" ht="14.25" customHeight="1">
      <c r="A37" s="1567" t="s">
        <v>1586</v>
      </c>
      <c r="B37" s="1435"/>
      <c r="C37" s="1166">
        <f>C17</f>
        <v>2097375</v>
      </c>
      <c r="D37" s="1219">
        <f>L31</f>
        <v>1998781</v>
      </c>
      <c r="E37" s="1220">
        <f t="shared" si="6"/>
        <v>-98594</v>
      </c>
      <c r="F37" s="1175">
        <f t="shared" si="7"/>
        <v>-4.700828416472972E-2</v>
      </c>
      <c r="G37" s="1568"/>
      <c r="H37" s="1434"/>
      <c r="I37" s="1434"/>
      <c r="J37" s="1434"/>
      <c r="K37" s="1434"/>
      <c r="L37" s="1434"/>
      <c r="M37" s="1434"/>
      <c r="N37" s="1434"/>
      <c r="O37" s="1435"/>
    </row>
    <row r="38" spans="1:15" ht="14.25" customHeight="1">
      <c r="A38" s="1567" t="s">
        <v>624</v>
      </c>
      <c r="B38" s="1435"/>
      <c r="C38" s="504">
        <v>759</v>
      </c>
      <c r="D38" s="504">
        <v>886</v>
      </c>
      <c r="E38" s="1221">
        <f t="shared" si="6"/>
        <v>127</v>
      </c>
      <c r="F38" s="1175">
        <f t="shared" si="7"/>
        <v>0.16732542819499341</v>
      </c>
      <c r="G38" s="1568"/>
      <c r="H38" s="1434"/>
      <c r="I38" s="1434"/>
      <c r="J38" s="1434"/>
      <c r="K38" s="1434"/>
      <c r="L38" s="1434"/>
      <c r="M38" s="1434"/>
      <c r="N38" s="1434"/>
      <c r="O38" s="1435"/>
    </row>
    <row r="39" spans="1:15" ht="14.25" customHeight="1">
      <c r="A39" s="1567" t="s">
        <v>1587</v>
      </c>
      <c r="B39" s="1435"/>
      <c r="C39" s="1222">
        <f>D17*1000/C17</f>
        <v>0.49914774420406466</v>
      </c>
      <c r="D39" s="1219">
        <f>J19*1000/L31</f>
        <v>0.46310569457383272</v>
      </c>
      <c r="E39" s="1220">
        <f t="shared" si="6"/>
        <v>-3.6042049630231943E-2</v>
      </c>
      <c r="F39" s="1175">
        <f t="shared" si="7"/>
        <v>-7.2207177231070507E-2</v>
      </c>
      <c r="G39" s="1568"/>
      <c r="H39" s="1434"/>
      <c r="I39" s="1434"/>
      <c r="J39" s="1434"/>
      <c r="K39" s="1434"/>
      <c r="L39" s="1434"/>
      <c r="M39" s="1434"/>
      <c r="N39" s="1434"/>
      <c r="O39" s="1435"/>
    </row>
    <row r="40" spans="1:15" ht="14.25" customHeight="1">
      <c r="A40" s="1567" t="s">
        <v>1588</v>
      </c>
      <c r="B40" s="1435"/>
      <c r="C40" s="1222">
        <f>D17</f>
        <v>1046.9000000000001</v>
      </c>
      <c r="D40" s="1219">
        <f>J19</f>
        <v>925.64686330597988</v>
      </c>
      <c r="E40" s="1220">
        <f t="shared" si="6"/>
        <v>-121.25313669402021</v>
      </c>
      <c r="F40" s="1175">
        <f t="shared" si="7"/>
        <v>-0.1158211258897891</v>
      </c>
      <c r="G40" s="1568"/>
      <c r="H40" s="1434"/>
      <c r="I40" s="1434"/>
      <c r="J40" s="1434"/>
      <c r="K40" s="1434"/>
      <c r="L40" s="1434"/>
      <c r="M40" s="1434"/>
      <c r="N40" s="1434"/>
      <c r="O40" s="1435"/>
    </row>
    <row r="41" spans="1:15" ht="14.25" customHeight="1">
      <c r="A41" s="1567" t="s">
        <v>1589</v>
      </c>
      <c r="B41" s="1435"/>
      <c r="C41" s="1222">
        <f>D17*1000/N15</f>
        <v>3.1778987025892366E-2</v>
      </c>
      <c r="D41" s="1219">
        <f>J19*1000/N16</f>
        <v>4.8448388241307858E-2</v>
      </c>
      <c r="E41" s="1220">
        <f t="shared" si="6"/>
        <v>1.6669401215415491E-2</v>
      </c>
      <c r="F41" s="1175">
        <f t="shared" si="7"/>
        <v>0.52454161618914619</v>
      </c>
      <c r="G41" s="1568"/>
      <c r="H41" s="1434"/>
      <c r="I41" s="1434"/>
      <c r="J41" s="1434"/>
      <c r="K41" s="1434"/>
      <c r="L41" s="1434"/>
      <c r="M41" s="1434"/>
      <c r="N41" s="1434"/>
      <c r="O41" s="1435"/>
    </row>
    <row r="42" spans="1:15" ht="14.25" customHeight="1">
      <c r="A42" s="431"/>
      <c r="B42" s="431"/>
      <c r="C42" s="431"/>
      <c r="D42" s="431"/>
      <c r="E42" s="431"/>
      <c r="F42" s="431"/>
      <c r="G42" s="431"/>
      <c r="H42" s="431"/>
      <c r="I42" s="431"/>
      <c r="J42" s="431"/>
      <c r="K42" s="431"/>
      <c r="L42" s="431"/>
      <c r="M42" s="431"/>
      <c r="N42" s="431"/>
      <c r="O42" s="431"/>
    </row>
    <row r="43" spans="1:15" ht="14.25" customHeight="1">
      <c r="A43" s="431"/>
      <c r="B43" s="431"/>
      <c r="C43" s="431"/>
      <c r="D43" s="431"/>
      <c r="E43" s="431"/>
      <c r="F43" s="431"/>
      <c r="G43" s="431"/>
      <c r="H43" s="431"/>
      <c r="I43" s="431"/>
      <c r="J43" s="431"/>
      <c r="K43" s="431"/>
      <c r="L43" s="431"/>
      <c r="M43" s="431"/>
      <c r="N43" s="431"/>
      <c r="O43" s="431"/>
    </row>
    <row r="44" spans="1:15" ht="14.25" customHeight="1">
      <c r="A44" s="444"/>
      <c r="B44" s="444"/>
      <c r="C44" s="444"/>
      <c r="D44" s="444"/>
      <c r="E44" s="431"/>
      <c r="F44" s="431"/>
      <c r="G44" s="431"/>
      <c r="H44" s="431"/>
      <c r="I44" s="431"/>
      <c r="J44" s="431"/>
      <c r="K44" s="431"/>
      <c r="L44" s="431"/>
      <c r="M44" s="431"/>
      <c r="N44" s="431"/>
      <c r="O44" s="431"/>
    </row>
    <row r="45" spans="1:15" ht="14.25" customHeight="1">
      <c r="A45" s="1571" t="s">
        <v>1590</v>
      </c>
      <c r="B45" s="1572"/>
      <c r="C45" s="1572"/>
      <c r="D45" s="1573"/>
      <c r="E45" s="434"/>
      <c r="F45" s="431"/>
      <c r="G45" s="431"/>
      <c r="H45" s="431"/>
      <c r="I45" s="431"/>
      <c r="J45" s="431"/>
      <c r="K45" s="431"/>
      <c r="L45" s="431"/>
      <c r="M45" s="431"/>
      <c r="N45" s="431"/>
      <c r="O45" s="431"/>
    </row>
    <row r="46" spans="1:15" ht="14.25" customHeight="1">
      <c r="A46" s="1223" t="s">
        <v>1572</v>
      </c>
      <c r="B46" s="1224">
        <v>0.43240796999999997</v>
      </c>
      <c r="C46" s="1224" t="s">
        <v>157</v>
      </c>
      <c r="D46" s="1224" t="s">
        <v>1591</v>
      </c>
      <c r="E46" s="434"/>
      <c r="F46" s="431"/>
      <c r="G46" s="431"/>
      <c r="H46" s="431"/>
      <c r="I46" s="431"/>
      <c r="J46" s="431"/>
      <c r="K46" s="431"/>
      <c r="L46" s="431"/>
      <c r="M46" s="431"/>
      <c r="N46" s="431"/>
      <c r="O46" s="431"/>
    </row>
    <row r="47" spans="1:15" ht="14.25" customHeight="1">
      <c r="A47" s="1223" t="s">
        <v>1592</v>
      </c>
      <c r="B47" s="1224">
        <v>0.46994239999999998</v>
      </c>
      <c r="C47" s="1224" t="s">
        <v>157</v>
      </c>
      <c r="D47" s="1224" t="s">
        <v>1591</v>
      </c>
      <c r="E47" s="434"/>
      <c r="F47" s="431"/>
      <c r="G47" s="431"/>
      <c r="H47" s="431"/>
      <c r="I47" s="431"/>
      <c r="J47" s="431"/>
      <c r="K47" s="431"/>
      <c r="L47" s="431"/>
      <c r="M47" s="431"/>
      <c r="N47" s="431"/>
      <c r="O47" s="431"/>
    </row>
    <row r="48" spans="1:15" ht="14.25" customHeight="1">
      <c r="A48" s="1223" t="s">
        <v>1593</v>
      </c>
      <c r="B48" s="1224">
        <v>0.34631561999999999</v>
      </c>
      <c r="C48" s="1224" t="s">
        <v>157</v>
      </c>
      <c r="D48" s="1224" t="s">
        <v>1591</v>
      </c>
      <c r="E48" s="434"/>
      <c r="F48" s="431"/>
      <c r="G48" s="431"/>
      <c r="H48" s="431"/>
      <c r="I48" s="431"/>
      <c r="J48" s="431"/>
      <c r="K48" s="431"/>
      <c r="L48" s="431"/>
      <c r="M48" s="431"/>
      <c r="N48" s="431"/>
      <c r="O48" s="431"/>
    </row>
    <row r="49" spans="1:15" ht="14.25" customHeight="1">
      <c r="A49" s="1223" t="s">
        <v>1571</v>
      </c>
      <c r="B49" s="1224">
        <v>0.47671433000000002</v>
      </c>
      <c r="C49" s="1224" t="s">
        <v>157</v>
      </c>
      <c r="D49" s="1224" t="s">
        <v>1591</v>
      </c>
      <c r="E49" s="434"/>
      <c r="F49" s="431"/>
      <c r="G49" s="431"/>
      <c r="H49" s="431"/>
      <c r="I49" s="431"/>
      <c r="J49" s="431"/>
      <c r="K49" s="431"/>
      <c r="L49" s="431"/>
      <c r="M49" s="431"/>
      <c r="N49" s="431"/>
      <c r="O49" s="431"/>
    </row>
    <row r="50" spans="1:15" ht="14.25" customHeight="1">
      <c r="A50" s="450"/>
      <c r="B50" s="450"/>
      <c r="C50" s="450"/>
      <c r="D50" s="450"/>
      <c r="E50" s="431"/>
      <c r="F50" s="431"/>
      <c r="G50" s="431"/>
      <c r="H50" s="431"/>
      <c r="I50" s="431"/>
      <c r="J50" s="431"/>
      <c r="K50" s="431"/>
      <c r="L50" s="431"/>
      <c r="M50" s="431"/>
      <c r="N50" s="431"/>
      <c r="O50" s="431"/>
    </row>
    <row r="51" spans="1:15" ht="14.25" customHeight="1">
      <c r="A51" s="591"/>
      <c r="B51" s="431"/>
      <c r="C51" s="431"/>
      <c r="D51" s="653"/>
      <c r="E51" s="661"/>
      <c r="J51" s="431"/>
      <c r="K51" s="431"/>
      <c r="L51" s="431"/>
      <c r="M51" s="591"/>
      <c r="N51" s="431"/>
      <c r="O51" s="431"/>
    </row>
    <row r="52" spans="1:15" ht="14.25" customHeight="1">
      <c r="A52" s="451" t="s">
        <v>713</v>
      </c>
      <c r="B52" s="451" t="s">
        <v>1594</v>
      </c>
      <c r="C52" s="451" t="s">
        <v>1595</v>
      </c>
      <c r="D52" s="451" t="s">
        <v>1596</v>
      </c>
      <c r="E52" s="661"/>
      <c r="F52" s="451" t="s">
        <v>713</v>
      </c>
      <c r="G52" s="451" t="s">
        <v>1594</v>
      </c>
      <c r="H52" s="451" t="s">
        <v>1595</v>
      </c>
      <c r="I52" s="451" t="s">
        <v>1596</v>
      </c>
      <c r="J52" s="431"/>
      <c r="K52" s="431"/>
      <c r="L52" s="451" t="s">
        <v>713</v>
      </c>
      <c r="M52" s="451" t="s">
        <v>1594</v>
      </c>
      <c r="N52" s="451" t="s">
        <v>1595</v>
      </c>
      <c r="O52" s="451" t="s">
        <v>1596</v>
      </c>
    </row>
    <row r="53" spans="1:15" ht="14.25" customHeight="1">
      <c r="A53" s="1225" t="s">
        <v>1576</v>
      </c>
      <c r="B53" s="1225" t="s">
        <v>1597</v>
      </c>
      <c r="C53" s="1226">
        <v>11987000</v>
      </c>
      <c r="D53" s="621">
        <f t="shared" ref="D53:D252" si="8">C53/$C$252</f>
        <v>7.0270669469793589E-3</v>
      </c>
      <c r="E53" s="661"/>
      <c r="F53" s="1227" t="s">
        <v>1576</v>
      </c>
      <c r="G53" s="431"/>
      <c r="H53" s="431"/>
      <c r="I53" s="653"/>
      <c r="J53" s="431"/>
      <c r="K53" s="431"/>
      <c r="L53" s="1227" t="s">
        <v>1576</v>
      </c>
      <c r="M53" s="431"/>
      <c r="N53" s="431"/>
      <c r="O53" s="653"/>
    </row>
    <row r="54" spans="1:15" ht="14.25" customHeight="1">
      <c r="A54" s="1225" t="s">
        <v>1576</v>
      </c>
      <c r="B54" s="1225" t="s">
        <v>1598</v>
      </c>
      <c r="C54" s="1226">
        <v>6942177</v>
      </c>
      <c r="D54" s="621">
        <f t="shared" si="8"/>
        <v>4.0696706879770018E-3</v>
      </c>
      <c r="E54" s="661"/>
      <c r="F54" s="591"/>
      <c r="G54" s="431"/>
      <c r="H54" s="431"/>
      <c r="I54" s="653"/>
      <c r="J54" s="431"/>
      <c r="K54" s="431"/>
      <c r="L54" s="591"/>
      <c r="M54" s="431"/>
      <c r="N54" s="431"/>
      <c r="O54" s="653"/>
    </row>
    <row r="55" spans="1:15" ht="14.25" customHeight="1">
      <c r="A55" s="1225" t="s">
        <v>1576</v>
      </c>
      <c r="B55" s="1225" t="s">
        <v>1599</v>
      </c>
      <c r="C55" s="1226">
        <v>1412605</v>
      </c>
      <c r="D55" s="621">
        <f t="shared" si="8"/>
        <v>8.2810293690145805E-4</v>
      </c>
      <c r="E55" s="661"/>
      <c r="F55" s="591"/>
      <c r="G55" s="431"/>
      <c r="H55" s="431"/>
      <c r="I55" s="653"/>
      <c r="J55" s="431"/>
      <c r="K55" s="431"/>
      <c r="L55" s="591"/>
      <c r="M55" s="431"/>
      <c r="N55" s="431"/>
      <c r="O55" s="653"/>
    </row>
    <row r="56" spans="1:15" ht="14.25" customHeight="1">
      <c r="A56" s="1225" t="s">
        <v>1576</v>
      </c>
      <c r="B56" s="1225" t="s">
        <v>1600</v>
      </c>
      <c r="C56" s="1226">
        <v>879302</v>
      </c>
      <c r="D56" s="621">
        <f t="shared" si="8"/>
        <v>5.1546792530348241E-4</v>
      </c>
      <c r="E56" s="661"/>
      <c r="F56" s="591"/>
      <c r="G56" s="431"/>
      <c r="H56" s="431"/>
      <c r="I56" s="653"/>
      <c r="J56" s="431"/>
      <c r="K56" s="431"/>
      <c r="L56" s="591"/>
      <c r="M56" s="431"/>
      <c r="N56" s="431"/>
      <c r="O56" s="653"/>
    </row>
    <row r="57" spans="1:15" ht="14.25" customHeight="1">
      <c r="A57" s="1225" t="s">
        <v>1576</v>
      </c>
      <c r="B57" s="1225" t="s">
        <v>1601</v>
      </c>
      <c r="C57" s="1226">
        <v>740000</v>
      </c>
      <c r="D57" s="621">
        <f t="shared" si="8"/>
        <v>4.3380575129429592E-4</v>
      </c>
      <c r="E57" s="661"/>
      <c r="F57" s="591"/>
      <c r="G57" s="431"/>
      <c r="H57" s="431"/>
      <c r="I57" s="653"/>
      <c r="J57" s="431"/>
      <c r="K57" s="431"/>
      <c r="L57" s="591"/>
      <c r="M57" s="431"/>
      <c r="N57" s="431"/>
      <c r="O57" s="653"/>
    </row>
    <row r="58" spans="1:15" ht="14.25" customHeight="1">
      <c r="A58" s="1225" t="s">
        <v>1578</v>
      </c>
      <c r="B58" s="1225" t="s">
        <v>1602</v>
      </c>
      <c r="C58" s="1226">
        <v>63304989</v>
      </c>
      <c r="D58" s="621">
        <f t="shared" si="8"/>
        <v>3.7110903126786679E-2</v>
      </c>
      <c r="E58" s="661"/>
      <c r="F58" s="591"/>
      <c r="G58" s="431"/>
      <c r="H58" s="431"/>
      <c r="I58" s="653"/>
      <c r="J58" s="431"/>
      <c r="K58" s="431"/>
      <c r="L58" s="591"/>
      <c r="M58" s="431"/>
      <c r="N58" s="431"/>
      <c r="O58" s="653"/>
    </row>
    <row r="59" spans="1:15" ht="14.25" customHeight="1">
      <c r="A59" s="1225" t="s">
        <v>1578</v>
      </c>
      <c r="B59" s="1225" t="s">
        <v>1603</v>
      </c>
      <c r="C59" s="1226">
        <v>14846787</v>
      </c>
      <c r="D59" s="621">
        <f t="shared" si="8"/>
        <v>8.7035426876234945E-3</v>
      </c>
      <c r="E59" s="661"/>
      <c r="F59" s="591"/>
      <c r="G59" s="431"/>
      <c r="H59" s="431"/>
      <c r="I59" s="653"/>
      <c r="J59" s="431"/>
      <c r="K59" s="431"/>
      <c r="L59" s="591"/>
      <c r="M59" s="431"/>
      <c r="N59" s="431"/>
      <c r="O59" s="653"/>
    </row>
    <row r="60" spans="1:15" ht="14.25" customHeight="1">
      <c r="A60" s="1225" t="s">
        <v>1578</v>
      </c>
      <c r="B60" s="1225" t="s">
        <v>1604</v>
      </c>
      <c r="C60" s="1226">
        <v>10721700</v>
      </c>
      <c r="D60" s="621">
        <f t="shared" si="8"/>
        <v>6.285317734664936E-3</v>
      </c>
      <c r="E60" s="661"/>
      <c r="F60" s="591"/>
      <c r="G60" s="431"/>
      <c r="H60" s="431"/>
      <c r="I60" s="653"/>
      <c r="J60" s="431"/>
      <c r="K60" s="431"/>
      <c r="L60" s="591"/>
      <c r="M60" s="431"/>
      <c r="N60" s="431"/>
      <c r="O60" s="653"/>
    </row>
    <row r="61" spans="1:15" ht="14.25" customHeight="1">
      <c r="A61" s="1225" t="s">
        <v>1578</v>
      </c>
      <c r="B61" s="1225" t="s">
        <v>1605</v>
      </c>
      <c r="C61" s="1226">
        <v>10246782</v>
      </c>
      <c r="D61" s="621">
        <f t="shared" si="8"/>
        <v>6.0069094106200921E-3</v>
      </c>
      <c r="E61" s="661"/>
      <c r="F61" s="591"/>
      <c r="G61" s="431"/>
      <c r="H61" s="431"/>
      <c r="I61" s="653"/>
      <c r="J61" s="431"/>
      <c r="K61" s="431"/>
      <c r="L61" s="591"/>
      <c r="M61" s="431"/>
      <c r="N61" s="431"/>
      <c r="O61" s="653"/>
    </row>
    <row r="62" spans="1:15" ht="14.25" customHeight="1">
      <c r="A62" s="1225" t="s">
        <v>1578</v>
      </c>
      <c r="B62" s="1225" t="s">
        <v>1606</v>
      </c>
      <c r="C62" s="1226">
        <v>9846014</v>
      </c>
      <c r="D62" s="621">
        <f t="shared" si="8"/>
        <v>5.7719695953029138E-3</v>
      </c>
      <c r="E62" s="661"/>
      <c r="F62" s="591"/>
      <c r="G62" s="431"/>
      <c r="H62" s="431"/>
      <c r="I62" s="653"/>
      <c r="J62" s="431"/>
      <c r="K62" s="431"/>
      <c r="L62" s="591"/>
      <c r="M62" s="431"/>
      <c r="N62" s="431"/>
      <c r="O62" s="653"/>
    </row>
    <row r="63" spans="1:15" ht="14.25" customHeight="1">
      <c r="A63" s="1225" t="s">
        <v>1578</v>
      </c>
      <c r="B63" s="1225" t="s">
        <v>1607</v>
      </c>
      <c r="C63" s="1226">
        <v>9512840</v>
      </c>
      <c r="D63" s="621">
        <f t="shared" si="8"/>
        <v>5.5766550042465274E-3</v>
      </c>
      <c r="E63" s="661"/>
      <c r="F63" s="1227" t="s">
        <v>1578</v>
      </c>
      <c r="G63" s="431"/>
      <c r="H63" s="431"/>
      <c r="I63" s="653"/>
      <c r="J63" s="431"/>
      <c r="K63" s="431"/>
      <c r="L63" s="1227" t="s">
        <v>1578</v>
      </c>
      <c r="M63" s="431"/>
      <c r="N63" s="431"/>
      <c r="O63" s="653"/>
    </row>
    <row r="64" spans="1:15" ht="14.25" customHeight="1">
      <c r="A64" s="1225" t="s">
        <v>1578</v>
      </c>
      <c r="B64" s="1225" t="s">
        <v>1608</v>
      </c>
      <c r="C64" s="1226">
        <v>6062100</v>
      </c>
      <c r="D64" s="621">
        <f t="shared" si="8"/>
        <v>3.5537484390826372E-3</v>
      </c>
      <c r="E64" s="661"/>
      <c r="F64" s="591"/>
      <c r="G64" s="431"/>
      <c r="H64" s="431"/>
      <c r="I64" s="653"/>
      <c r="J64" s="431"/>
      <c r="K64" s="431"/>
      <c r="L64" s="591"/>
      <c r="M64" s="431"/>
      <c r="N64" s="431"/>
      <c r="O64" s="653"/>
    </row>
    <row r="65" spans="1:4" ht="14.25" customHeight="1">
      <c r="A65" s="1225" t="s">
        <v>1578</v>
      </c>
      <c r="B65" s="1225" t="s">
        <v>1609</v>
      </c>
      <c r="C65" s="1226">
        <v>5735881</v>
      </c>
      <c r="D65" s="621">
        <f t="shared" si="8"/>
        <v>3.3625110358644289E-3</v>
      </c>
    </row>
    <row r="66" spans="1:4" ht="14.25" customHeight="1">
      <c r="A66" s="1225" t="s">
        <v>1578</v>
      </c>
      <c r="B66" s="1225" t="s">
        <v>1610</v>
      </c>
      <c r="C66" s="1226">
        <v>5336820</v>
      </c>
      <c r="D66" s="621">
        <f t="shared" si="8"/>
        <v>3.1285719048951685E-3</v>
      </c>
    </row>
    <row r="67" spans="1:4" ht="14.25" customHeight="1">
      <c r="A67" s="1225" t="s">
        <v>1578</v>
      </c>
      <c r="B67" s="1225" t="s">
        <v>1611</v>
      </c>
      <c r="C67" s="1226">
        <v>4440000</v>
      </c>
      <c r="D67" s="621">
        <f t="shared" si="8"/>
        <v>2.6028345077657757E-3</v>
      </c>
    </row>
    <row r="68" spans="1:4" ht="14.25" customHeight="1">
      <c r="A68" s="1225" t="s">
        <v>1578</v>
      </c>
      <c r="B68" s="1225" t="s">
        <v>1612</v>
      </c>
      <c r="C68" s="1226">
        <v>4050000</v>
      </c>
      <c r="D68" s="621">
        <f t="shared" si="8"/>
        <v>2.3742071523539169E-3</v>
      </c>
    </row>
    <row r="69" spans="1:4" ht="14.25" customHeight="1">
      <c r="A69" s="1225" t="s">
        <v>1578</v>
      </c>
      <c r="B69" s="1225" t="s">
        <v>1613</v>
      </c>
      <c r="C69" s="1226">
        <v>3959494</v>
      </c>
      <c r="D69" s="621">
        <f t="shared" si="8"/>
        <v>2.3211503640746716E-3</v>
      </c>
    </row>
    <row r="70" spans="1:4" ht="14.25" customHeight="1">
      <c r="A70" s="1225" t="s">
        <v>1578</v>
      </c>
      <c r="B70" s="1225" t="s">
        <v>1614</v>
      </c>
      <c r="C70" s="1226">
        <v>3096190</v>
      </c>
      <c r="D70" s="621">
        <f t="shared" si="8"/>
        <v>1.8150608501349814E-3</v>
      </c>
    </row>
    <row r="71" spans="1:4" ht="14.25" customHeight="1">
      <c r="A71" s="1225" t="s">
        <v>1578</v>
      </c>
      <c r="B71" s="1225" t="s">
        <v>1615</v>
      </c>
      <c r="C71" s="1226">
        <v>2812290</v>
      </c>
      <c r="D71" s="621">
        <f t="shared" si="8"/>
        <v>1.6486318598749128E-3</v>
      </c>
    </row>
    <row r="72" spans="1:4" ht="14.25" customHeight="1">
      <c r="A72" s="1225" t="s">
        <v>1578</v>
      </c>
      <c r="B72" s="1225" t="s">
        <v>1616</v>
      </c>
      <c r="C72" s="1226">
        <v>2796312</v>
      </c>
      <c r="D72" s="621">
        <f t="shared" si="8"/>
        <v>1.6392651729908855E-3</v>
      </c>
    </row>
    <row r="73" spans="1:4" ht="14.25" customHeight="1">
      <c r="A73" s="1225" t="s">
        <v>1578</v>
      </c>
      <c r="B73" s="1225" t="s">
        <v>1617</v>
      </c>
      <c r="C73" s="1226">
        <v>2524580</v>
      </c>
      <c r="D73" s="621">
        <f t="shared" si="8"/>
        <v>1.4799693562196671E-3</v>
      </c>
    </row>
    <row r="74" spans="1:4" ht="14.25" customHeight="1">
      <c r="A74" s="1225" t="s">
        <v>1578</v>
      </c>
      <c r="B74" s="1225" t="s">
        <v>1618</v>
      </c>
      <c r="C74" s="1226">
        <v>1709334</v>
      </c>
      <c r="D74" s="621">
        <f t="shared" si="8"/>
        <v>1.0020525947066002E-3</v>
      </c>
    </row>
    <row r="75" spans="1:4" ht="15.75" customHeight="1">
      <c r="A75" s="1225" t="s">
        <v>1578</v>
      </c>
      <c r="B75" s="1225" t="s">
        <v>1619</v>
      </c>
      <c r="C75" s="1226">
        <v>462000</v>
      </c>
      <c r="D75" s="621">
        <f t="shared" si="8"/>
        <v>2.7083548256481718E-4</v>
      </c>
    </row>
    <row r="76" spans="1:4" ht="15.75" customHeight="1">
      <c r="A76" s="1225" t="s">
        <v>1579</v>
      </c>
      <c r="B76" s="1225" t="s">
        <v>1620</v>
      </c>
      <c r="C76" s="1226">
        <v>14471096</v>
      </c>
      <c r="D76" s="621">
        <f t="shared" si="8"/>
        <v>8.4833036112592995E-3</v>
      </c>
    </row>
    <row r="77" spans="1:4" ht="15.75" customHeight="1">
      <c r="A77" s="1225" t="s">
        <v>1579</v>
      </c>
      <c r="B77" s="1225" t="s">
        <v>1621</v>
      </c>
      <c r="C77" s="1226">
        <v>11177998</v>
      </c>
      <c r="D77" s="621">
        <f t="shared" si="8"/>
        <v>6.5528105680488346E-3</v>
      </c>
    </row>
    <row r="78" spans="1:4" ht="15.75" customHeight="1">
      <c r="A78" s="1225" t="s">
        <v>1579</v>
      </c>
      <c r="B78" s="1225" t="s">
        <v>1622</v>
      </c>
      <c r="C78" s="1226">
        <v>7273220</v>
      </c>
      <c r="D78" s="621">
        <f t="shared" si="8"/>
        <v>4.263736035714458E-3</v>
      </c>
    </row>
    <row r="79" spans="1:4" ht="15.75" customHeight="1">
      <c r="A79" s="1225" t="s">
        <v>1579</v>
      </c>
      <c r="B79" s="1225" t="s">
        <v>1623</v>
      </c>
      <c r="C79" s="1226">
        <v>6710417</v>
      </c>
      <c r="D79" s="621">
        <f t="shared" si="8"/>
        <v>3.9338074164635348E-3</v>
      </c>
    </row>
    <row r="80" spans="1:4" ht="15.75" customHeight="1">
      <c r="A80" s="1225" t="s">
        <v>1579</v>
      </c>
      <c r="B80" s="1225" t="s">
        <v>1624</v>
      </c>
      <c r="C80" s="1226">
        <v>4098462</v>
      </c>
      <c r="D80" s="621">
        <f t="shared" si="8"/>
        <v>2.4026167392717877E-3</v>
      </c>
    </row>
    <row r="81" spans="1:4" ht="15.75" customHeight="1">
      <c r="A81" s="1225" t="s">
        <v>1579</v>
      </c>
      <c r="B81" s="1225" t="s">
        <v>1625</v>
      </c>
      <c r="C81" s="1226">
        <v>-496465</v>
      </c>
      <c r="D81" s="621">
        <f t="shared" si="8"/>
        <v>-2.9103969231935494E-4</v>
      </c>
    </row>
    <row r="82" spans="1:4" ht="15.75" customHeight="1">
      <c r="A82" s="1225" t="s">
        <v>1580</v>
      </c>
      <c r="B82" s="1225" t="s">
        <v>1626</v>
      </c>
      <c r="C82" s="1226">
        <v>57262886</v>
      </c>
      <c r="D82" s="621">
        <f t="shared" si="8"/>
        <v>3.3568877408796785E-2</v>
      </c>
    </row>
    <row r="83" spans="1:4" ht="15.75" customHeight="1">
      <c r="A83" s="1225" t="s">
        <v>1580</v>
      </c>
      <c r="B83" s="1225" t="s">
        <v>1627</v>
      </c>
      <c r="C83" s="1226">
        <v>51551104</v>
      </c>
      <c r="D83" s="621">
        <f t="shared" si="8"/>
        <v>3.0220493784824845E-2</v>
      </c>
    </row>
    <row r="84" spans="1:4" ht="15.75" customHeight="1">
      <c r="A84" s="1225" t="s">
        <v>1580</v>
      </c>
      <c r="B84" s="1225" t="s">
        <v>1628</v>
      </c>
      <c r="C84" s="1226">
        <v>28928639</v>
      </c>
      <c r="D84" s="621">
        <f t="shared" si="8"/>
        <v>1.6958662128806042E-2</v>
      </c>
    </row>
    <row r="85" spans="1:4" ht="15.75" customHeight="1">
      <c r="A85" s="1225" t="s">
        <v>1580</v>
      </c>
      <c r="B85" s="1225" t="s">
        <v>1629</v>
      </c>
      <c r="C85" s="1226">
        <v>24927076</v>
      </c>
      <c r="D85" s="621">
        <f t="shared" si="8"/>
        <v>1.4612849907770288E-2</v>
      </c>
    </row>
    <row r="86" spans="1:4" ht="15.75" customHeight="1">
      <c r="A86" s="1225" t="s">
        <v>1580</v>
      </c>
      <c r="B86" s="1225" t="s">
        <v>1630</v>
      </c>
      <c r="C86" s="1226">
        <v>24415351</v>
      </c>
      <c r="D86" s="621">
        <f t="shared" si="8"/>
        <v>1.4312864437390459E-2</v>
      </c>
    </row>
    <row r="87" spans="1:4" ht="15.75" customHeight="1">
      <c r="A87" s="1225" t="s">
        <v>1580</v>
      </c>
      <c r="B87" s="1225" t="s">
        <v>1631</v>
      </c>
      <c r="C87" s="1226">
        <v>21095760</v>
      </c>
      <c r="D87" s="621">
        <f t="shared" si="8"/>
        <v>1.2366840562059672E-2</v>
      </c>
    </row>
    <row r="88" spans="1:4" ht="15.75" customHeight="1">
      <c r="A88" s="1225" t="s">
        <v>1580</v>
      </c>
      <c r="B88" s="1225" t="s">
        <v>1632</v>
      </c>
      <c r="C88" s="1226">
        <v>21070405</v>
      </c>
      <c r="D88" s="621">
        <f t="shared" si="8"/>
        <v>1.2351976852837959E-2</v>
      </c>
    </row>
    <row r="89" spans="1:4" ht="15.75" customHeight="1">
      <c r="A89" s="1225" t="s">
        <v>1580</v>
      </c>
      <c r="B89" s="1225" t="s">
        <v>1633</v>
      </c>
      <c r="C89" s="1226">
        <v>18892454</v>
      </c>
      <c r="D89" s="621">
        <f t="shared" si="8"/>
        <v>1.1075209731436388E-2</v>
      </c>
    </row>
    <row r="90" spans="1:4" ht="15.75" customHeight="1">
      <c r="A90" s="1225" t="s">
        <v>1580</v>
      </c>
      <c r="B90" s="1225" t="s">
        <v>1634</v>
      </c>
      <c r="C90" s="1226">
        <v>18311093</v>
      </c>
      <c r="D90" s="621">
        <f t="shared" si="8"/>
        <v>1.0734401967411789E-2</v>
      </c>
    </row>
    <row r="91" spans="1:4" ht="15.75" customHeight="1">
      <c r="A91" s="1225" t="s">
        <v>1580</v>
      </c>
      <c r="B91" s="1225" t="s">
        <v>1635</v>
      </c>
      <c r="C91" s="1226">
        <v>16041222</v>
      </c>
      <c r="D91" s="621">
        <f t="shared" si="8"/>
        <v>9.4037491370116064E-3</v>
      </c>
    </row>
    <row r="92" spans="1:4" ht="15.75" customHeight="1">
      <c r="A92" s="1225" t="s">
        <v>1580</v>
      </c>
      <c r="B92" s="1225" t="s">
        <v>1636</v>
      </c>
      <c r="C92" s="1226">
        <v>15196602</v>
      </c>
      <c r="D92" s="621">
        <f t="shared" si="8"/>
        <v>8.9086126320681094E-3</v>
      </c>
    </row>
    <row r="93" spans="1:4" ht="15.75" customHeight="1">
      <c r="A93" s="1225" t="s">
        <v>1580</v>
      </c>
      <c r="B93" s="1225" t="s">
        <v>1637</v>
      </c>
      <c r="C93" s="1226">
        <v>14915655</v>
      </c>
      <c r="D93" s="621">
        <f t="shared" si="8"/>
        <v>8.7439147612452996E-3</v>
      </c>
    </row>
    <row r="94" spans="1:4" ht="15.75" customHeight="1">
      <c r="A94" s="1225" t="s">
        <v>1580</v>
      </c>
      <c r="B94" s="1225" t="s">
        <v>1638</v>
      </c>
      <c r="C94" s="1226">
        <v>14681767</v>
      </c>
      <c r="D94" s="621">
        <f t="shared" si="8"/>
        <v>8.6068040050848674E-3</v>
      </c>
    </row>
    <row r="95" spans="1:4" ht="15.75" customHeight="1">
      <c r="A95" s="1225" t="s">
        <v>1580</v>
      </c>
      <c r="B95" s="1225" t="s">
        <v>1639</v>
      </c>
      <c r="C95" s="1226">
        <v>13890646</v>
      </c>
      <c r="D95" s="621">
        <f t="shared" si="8"/>
        <v>8.143029897287983E-3</v>
      </c>
    </row>
    <row r="96" spans="1:4" ht="15.75" customHeight="1">
      <c r="A96" s="1225" t="s">
        <v>1580</v>
      </c>
      <c r="B96" s="1225" t="s">
        <v>1640</v>
      </c>
      <c r="C96" s="1226">
        <v>13695528</v>
      </c>
      <c r="D96" s="621">
        <f t="shared" si="8"/>
        <v>8.0286470451514415E-3</v>
      </c>
    </row>
    <row r="97" spans="1:4" ht="15.75" customHeight="1">
      <c r="A97" s="1225" t="s">
        <v>1580</v>
      </c>
      <c r="B97" s="1225" t="s">
        <v>1641</v>
      </c>
      <c r="C97" s="1226">
        <v>12945822</v>
      </c>
      <c r="D97" s="621">
        <f t="shared" si="8"/>
        <v>7.5891514038273307E-3</v>
      </c>
    </row>
    <row r="98" spans="1:4" ht="15.75" customHeight="1">
      <c r="A98" s="1225" t="s">
        <v>1580</v>
      </c>
      <c r="B98" s="1225" t="s">
        <v>1642</v>
      </c>
      <c r="C98" s="1226">
        <v>12319661</v>
      </c>
      <c r="D98" s="621">
        <f t="shared" si="8"/>
        <v>7.2220808051297802E-3</v>
      </c>
    </row>
    <row r="99" spans="1:4" ht="15.75" customHeight="1">
      <c r="A99" s="1225" t="s">
        <v>1580</v>
      </c>
      <c r="B99" s="1225" t="s">
        <v>1626</v>
      </c>
      <c r="C99" s="1226">
        <v>10980617</v>
      </c>
      <c r="D99" s="621">
        <f t="shared" si="8"/>
        <v>6.4371010910269167E-3</v>
      </c>
    </row>
    <row r="100" spans="1:4" ht="15.75" customHeight="1">
      <c r="A100" s="1225" t="s">
        <v>1580</v>
      </c>
      <c r="B100" s="1225" t="s">
        <v>1643</v>
      </c>
      <c r="C100" s="1226">
        <v>10309008</v>
      </c>
      <c r="D100" s="621">
        <f t="shared" si="8"/>
        <v>6.0433877845120368E-3</v>
      </c>
    </row>
    <row r="101" spans="1:4" ht="15.75" customHeight="1">
      <c r="A101" s="1225" t="s">
        <v>1580</v>
      </c>
      <c r="B101" s="1225" t="s">
        <v>1644</v>
      </c>
      <c r="C101" s="1226">
        <v>10024830</v>
      </c>
      <c r="D101" s="621">
        <f t="shared" si="8"/>
        <v>5.876795823983239E-3</v>
      </c>
    </row>
    <row r="102" spans="1:4" ht="15.75" customHeight="1">
      <c r="A102" s="1225" t="s">
        <v>1581</v>
      </c>
      <c r="B102" s="1225" t="s">
        <v>1645</v>
      </c>
      <c r="C102" s="1226">
        <v>9740708</v>
      </c>
      <c r="D102" s="621">
        <f t="shared" si="8"/>
        <v>5.7102366919977825E-3</v>
      </c>
    </row>
    <row r="103" spans="1:4" ht="15.75" customHeight="1">
      <c r="A103" s="1225" t="s">
        <v>1581</v>
      </c>
      <c r="B103" s="1225" t="s">
        <v>1646</v>
      </c>
      <c r="C103" s="1226">
        <v>9089500</v>
      </c>
      <c r="D103" s="621">
        <f t="shared" si="8"/>
        <v>5.3284829410668961E-3</v>
      </c>
    </row>
    <row r="104" spans="1:4" ht="15.75" customHeight="1">
      <c r="A104" s="1225" t="s">
        <v>1581</v>
      </c>
      <c r="B104" s="1225" t="s">
        <v>1647</v>
      </c>
      <c r="C104" s="1226">
        <v>9070118</v>
      </c>
      <c r="D104" s="621">
        <f t="shared" si="8"/>
        <v>5.3171207477269149E-3</v>
      </c>
    </row>
    <row r="105" spans="1:4" ht="15.75" customHeight="1">
      <c r="A105" s="1225" t="s">
        <v>1581</v>
      </c>
      <c r="B105" s="1225" t="s">
        <v>1648</v>
      </c>
      <c r="C105" s="1226">
        <v>8850784</v>
      </c>
      <c r="D105" s="621">
        <f t="shared" si="8"/>
        <v>5.1885418954912624E-3</v>
      </c>
    </row>
    <row r="106" spans="1:4" ht="15.75" customHeight="1">
      <c r="A106" s="1225" t="s">
        <v>1581</v>
      </c>
      <c r="B106" s="1225" t="s">
        <v>1649</v>
      </c>
      <c r="C106" s="1226">
        <v>8657321</v>
      </c>
      <c r="D106" s="621">
        <f t="shared" si="8"/>
        <v>5.0751292440552511E-3</v>
      </c>
    </row>
    <row r="107" spans="1:4" ht="15.75" customHeight="1">
      <c r="A107" s="1225" t="s">
        <v>1581</v>
      </c>
      <c r="B107" s="1225" t="s">
        <v>1650</v>
      </c>
      <c r="C107" s="1226">
        <v>7155646</v>
      </c>
      <c r="D107" s="621">
        <f t="shared" si="8"/>
        <v>4.194811336521654E-3</v>
      </c>
    </row>
    <row r="108" spans="1:4" ht="15.75" customHeight="1">
      <c r="A108" s="1225" t="s">
        <v>1581</v>
      </c>
      <c r="B108" s="1225" t="s">
        <v>1651</v>
      </c>
      <c r="C108" s="1226">
        <v>5936288</v>
      </c>
      <c r="D108" s="621">
        <f t="shared" si="8"/>
        <v>3.4799944266747482E-3</v>
      </c>
    </row>
    <row r="109" spans="1:4" ht="15.75" customHeight="1">
      <c r="A109" s="1225" t="s">
        <v>1581</v>
      </c>
      <c r="B109" s="1225" t="s">
        <v>1652</v>
      </c>
      <c r="C109" s="1226">
        <v>5842500</v>
      </c>
      <c r="D109" s="621">
        <f t="shared" si="8"/>
        <v>3.4250136512661137E-3</v>
      </c>
    </row>
    <row r="110" spans="1:4" ht="15.75" customHeight="1">
      <c r="A110" s="1225" t="s">
        <v>1581</v>
      </c>
      <c r="B110" s="1225" t="s">
        <v>1653</v>
      </c>
      <c r="C110" s="1226">
        <v>5693598</v>
      </c>
      <c r="D110" s="621">
        <f t="shared" si="8"/>
        <v>3.3377237269698662E-3</v>
      </c>
    </row>
    <row r="111" spans="1:4" ht="15.75" customHeight="1">
      <c r="A111" s="1225" t="s">
        <v>1581</v>
      </c>
      <c r="B111" s="1225" t="s">
        <v>1654</v>
      </c>
      <c r="C111" s="1226">
        <v>5397262</v>
      </c>
      <c r="D111" s="621">
        <f t="shared" si="8"/>
        <v>3.1640044551921004E-3</v>
      </c>
    </row>
    <row r="112" spans="1:4" ht="15.75" customHeight="1">
      <c r="A112" s="1225" t="s">
        <v>1581</v>
      </c>
      <c r="B112" s="1225" t="s">
        <v>1655</v>
      </c>
      <c r="C112" s="1226">
        <v>5046272</v>
      </c>
      <c r="D112" s="621">
        <f t="shared" si="8"/>
        <v>2.9582456975613099E-3</v>
      </c>
    </row>
    <row r="113" spans="1:4" ht="15.75" customHeight="1">
      <c r="A113" s="1225" t="s">
        <v>1581</v>
      </c>
      <c r="B113" s="1225" t="s">
        <v>1656</v>
      </c>
      <c r="C113" s="1226">
        <v>4997877</v>
      </c>
      <c r="D113" s="621">
        <f t="shared" si="8"/>
        <v>2.9298753876506513E-3</v>
      </c>
    </row>
    <row r="114" spans="1:4" ht="15.75" customHeight="1">
      <c r="A114" s="1225" t="s">
        <v>1581</v>
      </c>
      <c r="B114" s="1225" t="s">
        <v>1657</v>
      </c>
      <c r="C114" s="1226">
        <v>4789024</v>
      </c>
      <c r="D114" s="621">
        <f t="shared" si="8"/>
        <v>2.807440749035695E-3</v>
      </c>
    </row>
    <row r="115" spans="1:4" ht="15.75" customHeight="1">
      <c r="A115" s="1225" t="s">
        <v>1581</v>
      </c>
      <c r="B115" s="1225" t="s">
        <v>1658</v>
      </c>
      <c r="C115" s="1226">
        <v>4481910</v>
      </c>
      <c r="D115" s="621">
        <f t="shared" si="8"/>
        <v>2.6274031551127269E-3</v>
      </c>
    </row>
    <row r="116" spans="1:4" ht="15.75" customHeight="1">
      <c r="A116" s="1225" t="s">
        <v>1581</v>
      </c>
      <c r="B116" s="1225" t="s">
        <v>1659</v>
      </c>
      <c r="C116" s="1226">
        <v>4394823</v>
      </c>
      <c r="D116" s="621">
        <f t="shared" si="8"/>
        <v>2.5763506666492591E-3</v>
      </c>
    </row>
    <row r="117" spans="1:4" ht="15.75" customHeight="1">
      <c r="A117" s="1225" t="s">
        <v>1581</v>
      </c>
      <c r="B117" s="1225" t="s">
        <v>1660</v>
      </c>
      <c r="C117" s="1226">
        <v>3832000</v>
      </c>
      <c r="D117" s="621">
        <f t="shared" si="8"/>
        <v>2.2464103229185703E-3</v>
      </c>
    </row>
    <row r="118" spans="1:4" ht="15.75" customHeight="1">
      <c r="A118" s="1225" t="s">
        <v>1581</v>
      </c>
      <c r="B118" s="1225" t="s">
        <v>1661</v>
      </c>
      <c r="C118" s="1226">
        <v>3740250</v>
      </c>
      <c r="D118" s="621">
        <f t="shared" si="8"/>
        <v>2.19262427199796E-3</v>
      </c>
    </row>
    <row r="119" spans="1:4" ht="15.75" customHeight="1">
      <c r="A119" s="1225" t="s">
        <v>1581</v>
      </c>
      <c r="B119" s="1225" t="s">
        <v>1662</v>
      </c>
      <c r="C119" s="1226">
        <v>3627581</v>
      </c>
      <c r="D119" s="621">
        <f t="shared" si="8"/>
        <v>2.1265750014674506E-3</v>
      </c>
    </row>
    <row r="120" spans="1:4" ht="15.75" customHeight="1">
      <c r="A120" s="1225" t="s">
        <v>1581</v>
      </c>
      <c r="B120" s="1225" t="s">
        <v>1663</v>
      </c>
      <c r="C120" s="1226">
        <v>3591723</v>
      </c>
      <c r="D120" s="621">
        <f t="shared" si="8"/>
        <v>2.1055541816973008E-3</v>
      </c>
    </row>
    <row r="121" spans="1:4" ht="15.75" customHeight="1">
      <c r="A121" s="1225" t="s">
        <v>1581</v>
      </c>
      <c r="B121" s="1225" t="s">
        <v>1664</v>
      </c>
      <c r="C121" s="1226">
        <v>3249786</v>
      </c>
      <c r="D121" s="621">
        <f t="shared" si="8"/>
        <v>1.9051025098320066E-3</v>
      </c>
    </row>
    <row r="122" spans="1:4" ht="15.75" customHeight="1">
      <c r="A122" s="1225" t="s">
        <v>1581</v>
      </c>
      <c r="B122" s="1225" t="s">
        <v>1665</v>
      </c>
      <c r="C122" s="1226">
        <v>2839900</v>
      </c>
      <c r="D122" s="621">
        <f t="shared" si="8"/>
        <v>1.664817504190096E-3</v>
      </c>
    </row>
    <row r="123" spans="1:4" ht="15.75" customHeight="1">
      <c r="A123" s="1225" t="s">
        <v>1581</v>
      </c>
      <c r="B123" s="1225" t="s">
        <v>1666</v>
      </c>
      <c r="C123" s="1226">
        <v>2788065</v>
      </c>
      <c r="D123" s="621">
        <f t="shared" si="8"/>
        <v>1.634430583759907E-3</v>
      </c>
    </row>
    <row r="124" spans="1:4" ht="15.75" customHeight="1">
      <c r="A124" s="1225" t="s">
        <v>1581</v>
      </c>
      <c r="B124" s="1225" t="s">
        <v>1667</v>
      </c>
      <c r="C124" s="1226">
        <v>2719358</v>
      </c>
      <c r="D124" s="621">
        <f t="shared" si="8"/>
        <v>1.5941528922002082E-3</v>
      </c>
    </row>
    <row r="125" spans="1:4" ht="15.75" customHeight="1">
      <c r="A125" s="1225" t="s">
        <v>1581</v>
      </c>
      <c r="B125" s="1225" t="s">
        <v>1668</v>
      </c>
      <c r="C125" s="1226">
        <v>2643563</v>
      </c>
      <c r="D125" s="621">
        <f t="shared" si="8"/>
        <v>1.5497200450118958E-3</v>
      </c>
    </row>
    <row r="126" spans="1:4" ht="15.75" customHeight="1">
      <c r="A126" s="1225" t="s">
        <v>1581</v>
      </c>
      <c r="B126" s="1225" t="s">
        <v>1669</v>
      </c>
      <c r="C126" s="1226">
        <v>2584984</v>
      </c>
      <c r="D126" s="621">
        <f t="shared" si="8"/>
        <v>1.5153796300050465E-3</v>
      </c>
    </row>
    <row r="127" spans="1:4" ht="15.75" customHeight="1">
      <c r="A127" s="1225" t="s">
        <v>1581</v>
      </c>
      <c r="B127" s="1225" t="s">
        <v>1670</v>
      </c>
      <c r="C127" s="1226">
        <v>2428518</v>
      </c>
      <c r="D127" s="621">
        <f t="shared" si="8"/>
        <v>1.4236555074617851E-3</v>
      </c>
    </row>
    <row r="128" spans="1:4" ht="15.75" customHeight="1">
      <c r="A128" s="1225" t="s">
        <v>1581</v>
      </c>
      <c r="B128" s="1225" t="s">
        <v>1671</v>
      </c>
      <c r="C128" s="1226">
        <v>2167200</v>
      </c>
      <c r="D128" s="621">
        <f t="shared" si="8"/>
        <v>1.2704646273040516E-3</v>
      </c>
    </row>
    <row r="129" spans="1:4" ht="15.75" customHeight="1">
      <c r="A129" s="1225" t="s">
        <v>1581</v>
      </c>
      <c r="B129" s="1225" t="s">
        <v>1672</v>
      </c>
      <c r="C129" s="1226">
        <v>2038366</v>
      </c>
      <c r="D129" s="621">
        <f t="shared" si="8"/>
        <v>1.1949390460037146E-3</v>
      </c>
    </row>
    <row r="130" spans="1:4" ht="15.75" customHeight="1">
      <c r="A130" s="1225" t="s">
        <v>1581</v>
      </c>
      <c r="B130" s="1225" t="s">
        <v>1673</v>
      </c>
      <c r="C130" s="1226">
        <v>1994446</v>
      </c>
      <c r="D130" s="621">
        <f t="shared" si="8"/>
        <v>1.16919208844041E-3</v>
      </c>
    </row>
    <row r="131" spans="1:4" ht="15.75" customHeight="1">
      <c r="A131" s="1225" t="s">
        <v>1581</v>
      </c>
      <c r="B131" s="1225" t="s">
        <v>1674</v>
      </c>
      <c r="C131" s="1226">
        <v>1819400</v>
      </c>
      <c r="D131" s="621">
        <f t="shared" si="8"/>
        <v>1.0665759241957325E-3</v>
      </c>
    </row>
    <row r="132" spans="1:4" ht="15.75" customHeight="1">
      <c r="A132" s="1225" t="s">
        <v>1581</v>
      </c>
      <c r="B132" s="1225" t="s">
        <v>1675</v>
      </c>
      <c r="C132" s="1226">
        <v>1782347</v>
      </c>
      <c r="D132" s="621">
        <f t="shared" si="8"/>
        <v>1.0448545667596412E-3</v>
      </c>
    </row>
    <row r="133" spans="1:4" ht="15.75" customHeight="1">
      <c r="A133" s="1225" t="s">
        <v>1581</v>
      </c>
      <c r="B133" s="1225" t="s">
        <v>1676</v>
      </c>
      <c r="C133" s="1226">
        <v>1710160</v>
      </c>
      <c r="D133" s="621">
        <f t="shared" si="8"/>
        <v>1.0025368157208826E-3</v>
      </c>
    </row>
    <row r="134" spans="1:4" ht="15.75" customHeight="1">
      <c r="A134" s="1225" t="s">
        <v>1581</v>
      </c>
      <c r="B134" s="1225" t="s">
        <v>1677</v>
      </c>
      <c r="C134" s="1226">
        <v>1521994</v>
      </c>
      <c r="D134" s="621">
        <f t="shared" si="8"/>
        <v>8.9222939275055498E-4</v>
      </c>
    </row>
    <row r="135" spans="1:4" ht="15.75" customHeight="1">
      <c r="A135" s="1225" t="s">
        <v>1581</v>
      </c>
      <c r="B135" s="1225" t="s">
        <v>1678</v>
      </c>
      <c r="C135" s="1226">
        <v>1490925</v>
      </c>
      <c r="D135" s="621">
        <f t="shared" si="8"/>
        <v>8.7401599966006513E-4</v>
      </c>
    </row>
    <row r="136" spans="1:4" ht="15.75" customHeight="1">
      <c r="A136" s="1225" t="s">
        <v>1581</v>
      </c>
      <c r="B136" s="1225" t="s">
        <v>1679</v>
      </c>
      <c r="C136" s="1226">
        <v>1398869</v>
      </c>
      <c r="D136" s="621">
        <f t="shared" si="8"/>
        <v>8.2005056419905467E-4</v>
      </c>
    </row>
    <row r="137" spans="1:4" ht="15.75" customHeight="1">
      <c r="A137" s="1225" t="s">
        <v>1581</v>
      </c>
      <c r="B137" s="1225" t="s">
        <v>1680</v>
      </c>
      <c r="C137" s="1226">
        <v>1298500</v>
      </c>
      <c r="D137" s="621">
        <f t="shared" si="8"/>
        <v>7.6121184872384232E-4</v>
      </c>
    </row>
    <row r="138" spans="1:4" ht="15.75" customHeight="1">
      <c r="A138" s="1225" t="s">
        <v>1581</v>
      </c>
      <c r="B138" s="1225" t="s">
        <v>1681</v>
      </c>
      <c r="C138" s="1226">
        <v>1198690</v>
      </c>
      <c r="D138" s="621">
        <f t="shared" si="8"/>
        <v>7.0270083245805356E-4</v>
      </c>
    </row>
    <row r="139" spans="1:4" ht="15.75" customHeight="1">
      <c r="A139" s="1225" t="s">
        <v>1581</v>
      </c>
      <c r="B139" s="1225" t="s">
        <v>1682</v>
      </c>
      <c r="C139" s="1226">
        <v>1175608</v>
      </c>
      <c r="D139" s="621">
        <f t="shared" si="8"/>
        <v>6.8916961036160089E-4</v>
      </c>
    </row>
    <row r="140" spans="1:4" ht="15.75" customHeight="1">
      <c r="A140" s="1225" t="s">
        <v>1581</v>
      </c>
      <c r="B140" s="1225" t="s">
        <v>1683</v>
      </c>
      <c r="C140" s="1226">
        <v>1146020</v>
      </c>
      <c r="D140" s="621">
        <f t="shared" si="8"/>
        <v>6.7182441499768792E-4</v>
      </c>
    </row>
    <row r="141" spans="1:4" ht="15.75" customHeight="1">
      <c r="A141" s="1225" t="s">
        <v>1581</v>
      </c>
      <c r="B141" s="1225" t="s">
        <v>1684</v>
      </c>
      <c r="C141" s="1226">
        <v>980500</v>
      </c>
      <c r="D141" s="621">
        <f t="shared" si="8"/>
        <v>5.7479262046494209E-4</v>
      </c>
    </row>
    <row r="142" spans="1:4" ht="15.75" customHeight="1">
      <c r="A142" s="1225" t="s">
        <v>1581</v>
      </c>
      <c r="B142" s="1225" t="s">
        <v>1685</v>
      </c>
      <c r="C142" s="1226">
        <v>749104</v>
      </c>
      <c r="D142" s="621">
        <f t="shared" si="8"/>
        <v>4.3914273448319226E-4</v>
      </c>
    </row>
    <row r="143" spans="1:4" ht="15.75" customHeight="1">
      <c r="A143" s="1225" t="s">
        <v>1581</v>
      </c>
      <c r="B143" s="1225" t="s">
        <v>1686</v>
      </c>
      <c r="C143" s="1226">
        <v>724402</v>
      </c>
      <c r="D143" s="621">
        <f t="shared" si="8"/>
        <v>4.246618295257981E-4</v>
      </c>
    </row>
    <row r="144" spans="1:4" ht="15.75" customHeight="1">
      <c r="A144" s="1225" t="s">
        <v>1581</v>
      </c>
      <c r="B144" s="1225" t="s">
        <v>1687</v>
      </c>
      <c r="C144" s="1226">
        <v>592200</v>
      </c>
      <c r="D144" s="621">
        <f t="shared" si="8"/>
        <v>3.4716184583308388E-4</v>
      </c>
    </row>
    <row r="145" spans="1:4" ht="15.75" customHeight="1">
      <c r="A145" s="1225" t="s">
        <v>1581</v>
      </c>
      <c r="B145" s="1225" t="s">
        <v>1599</v>
      </c>
      <c r="C145" s="1226">
        <v>504594</v>
      </c>
      <c r="D145" s="621">
        <f t="shared" si="8"/>
        <v>2.9580510711972157E-4</v>
      </c>
    </row>
    <row r="146" spans="1:4" ht="15.75" customHeight="1">
      <c r="A146" s="1225" t="s">
        <v>1581</v>
      </c>
      <c r="B146" s="1225" t="s">
        <v>1688</v>
      </c>
      <c r="C146" s="1226">
        <v>496466</v>
      </c>
      <c r="D146" s="621">
        <f t="shared" si="8"/>
        <v>2.9104027854334313E-4</v>
      </c>
    </row>
    <row r="147" spans="1:4" ht="15.75" customHeight="1">
      <c r="A147" s="1225" t="s">
        <v>1581</v>
      </c>
      <c r="B147" s="1225" t="s">
        <v>1689</v>
      </c>
      <c r="C147" s="1226">
        <v>469247</v>
      </c>
      <c r="D147" s="621">
        <f t="shared" si="8"/>
        <v>2.7508384780756013E-4</v>
      </c>
    </row>
    <row r="148" spans="1:4" ht="15.75" customHeight="1">
      <c r="A148" s="1225" t="s">
        <v>1581</v>
      </c>
      <c r="B148" s="1225" t="s">
        <v>1690</v>
      </c>
      <c r="C148" s="1226">
        <v>400087</v>
      </c>
      <c r="D148" s="621">
        <f t="shared" si="8"/>
        <v>2.3454059678119053E-4</v>
      </c>
    </row>
    <row r="149" spans="1:4" ht="15.75" customHeight="1">
      <c r="A149" s="1225" t="s">
        <v>1581</v>
      </c>
      <c r="B149" s="1225" t="s">
        <v>1691</v>
      </c>
      <c r="C149" s="1226">
        <v>398467</v>
      </c>
      <c r="D149" s="621">
        <f t="shared" si="8"/>
        <v>2.3359091392024896E-4</v>
      </c>
    </row>
    <row r="150" spans="1:4" ht="15.75" customHeight="1">
      <c r="A150" s="1225" t="s">
        <v>1581</v>
      </c>
      <c r="B150" s="1225" t="s">
        <v>1692</v>
      </c>
      <c r="C150" s="1226">
        <v>25151</v>
      </c>
      <c r="D150" s="621">
        <f t="shared" si="8"/>
        <v>1.4744119528111943E-5</v>
      </c>
    </row>
    <row r="151" spans="1:4" ht="15.75" customHeight="1">
      <c r="A151" s="1225" t="s">
        <v>1581</v>
      </c>
      <c r="B151" s="1225" t="s">
        <v>1693</v>
      </c>
      <c r="C151" s="1226">
        <v>6297</v>
      </c>
      <c r="D151" s="621">
        <f t="shared" si="8"/>
        <v>3.6914524539191645E-6</v>
      </c>
    </row>
    <row r="152" spans="1:4" ht="15.75" customHeight="1">
      <c r="A152" s="1225" t="s">
        <v>1581</v>
      </c>
      <c r="B152" s="1225" t="s">
        <v>1694</v>
      </c>
      <c r="C152" s="1226">
        <v>-441719</v>
      </c>
      <c r="D152" s="621">
        <f t="shared" si="8"/>
        <v>-2.5894627385941233E-4</v>
      </c>
    </row>
    <row r="153" spans="1:4" ht="15.75" customHeight="1">
      <c r="A153" s="1225" t="s">
        <v>1581</v>
      </c>
      <c r="B153" s="1225" t="s">
        <v>1695</v>
      </c>
      <c r="C153" s="1226">
        <v>-645000</v>
      </c>
      <c r="D153" s="621">
        <f t="shared" si="8"/>
        <v>-3.7811447241192011E-4</v>
      </c>
    </row>
    <row r="154" spans="1:4" ht="15.75" customHeight="1">
      <c r="A154" s="1225" t="s">
        <v>1581</v>
      </c>
      <c r="B154" s="1225" t="s">
        <v>1696</v>
      </c>
      <c r="C154" s="1226">
        <v>-763981</v>
      </c>
      <c r="D154" s="621">
        <f t="shared" si="8"/>
        <v>-4.4786398875617232E-4</v>
      </c>
    </row>
    <row r="155" spans="1:4" ht="15.75" customHeight="1">
      <c r="A155" s="1225" t="s">
        <v>1581</v>
      </c>
      <c r="B155" s="1225" t="s">
        <v>1697</v>
      </c>
      <c r="C155" s="1226">
        <v>-4565395</v>
      </c>
      <c r="D155" s="621">
        <f t="shared" si="8"/>
        <v>-2.6763440647705706E-3</v>
      </c>
    </row>
    <row r="156" spans="1:4" ht="15.75" customHeight="1">
      <c r="A156" s="1225" t="s">
        <v>1581</v>
      </c>
      <c r="B156" s="1225" t="s">
        <v>1698</v>
      </c>
      <c r="C156" s="1226">
        <v>-5631341</v>
      </c>
      <c r="D156" s="621">
        <f t="shared" si="8"/>
        <v>-3.3012271801342863E-3</v>
      </c>
    </row>
    <row r="157" spans="1:4" ht="15.75" customHeight="1">
      <c r="A157" s="1225" t="s">
        <v>1581</v>
      </c>
      <c r="B157" s="1225" t="s">
        <v>1699</v>
      </c>
      <c r="C157" s="1226">
        <v>-7340192</v>
      </c>
      <c r="D157" s="621">
        <f t="shared" si="8"/>
        <v>-4.3029966286545684E-3</v>
      </c>
    </row>
    <row r="158" spans="1:4" ht="15.75" customHeight="1">
      <c r="A158" s="1225" t="s">
        <v>1581</v>
      </c>
      <c r="B158" s="1225" t="s">
        <v>1700</v>
      </c>
      <c r="C158" s="1226">
        <v>-12196566</v>
      </c>
      <c r="D158" s="621">
        <f t="shared" si="8"/>
        <v>-7.1499195632979268E-3</v>
      </c>
    </row>
    <row r="159" spans="1:4" ht="15.75" customHeight="1">
      <c r="A159" s="1225" t="s">
        <v>1582</v>
      </c>
      <c r="B159" s="1225" t="s">
        <v>1701</v>
      </c>
      <c r="C159" s="1226">
        <v>118000</v>
      </c>
      <c r="D159" s="621">
        <f t="shared" si="8"/>
        <v>6.9174430611793143E-5</v>
      </c>
    </row>
    <row r="160" spans="1:4" ht="15.75" customHeight="1">
      <c r="A160" s="1225" t="s">
        <v>1582</v>
      </c>
      <c r="B160" s="1225" t="s">
        <v>1702</v>
      </c>
      <c r="C160" s="1226">
        <v>448900</v>
      </c>
      <c r="D160" s="621">
        <f t="shared" si="8"/>
        <v>2.6315594831893168E-4</v>
      </c>
    </row>
    <row r="161" spans="1:4" ht="15.75" customHeight="1">
      <c r="A161" s="1225" t="s">
        <v>1582</v>
      </c>
      <c r="B161" s="1225" t="s">
        <v>1697</v>
      </c>
      <c r="C161" s="1226">
        <v>118000</v>
      </c>
      <c r="D161" s="621">
        <f t="shared" si="8"/>
        <v>6.9174430611793143E-5</v>
      </c>
    </row>
    <row r="162" spans="1:4" ht="15.75" customHeight="1">
      <c r="A162" s="1225" t="s">
        <v>1583</v>
      </c>
      <c r="B162" s="1225" t="s">
        <v>1703</v>
      </c>
      <c r="C162" s="1226">
        <v>127073020</v>
      </c>
      <c r="D162" s="621">
        <f t="shared" si="8"/>
        <v>7.4493252581533914E-2</v>
      </c>
    </row>
    <row r="163" spans="1:4" ht="15.75" customHeight="1">
      <c r="A163" s="1225" t="s">
        <v>1583</v>
      </c>
      <c r="B163" s="1225" t="s">
        <v>1704</v>
      </c>
      <c r="C163" s="1226">
        <v>80677332</v>
      </c>
      <c r="D163" s="621">
        <f t="shared" si="8"/>
        <v>4.7294987325242357E-2</v>
      </c>
    </row>
    <row r="164" spans="1:4" ht="15.75" customHeight="1">
      <c r="A164" s="1225" t="s">
        <v>1583</v>
      </c>
      <c r="B164" s="1225" t="s">
        <v>1705</v>
      </c>
      <c r="C164" s="1226">
        <v>77146973</v>
      </c>
      <c r="D164" s="621">
        <f t="shared" si="8"/>
        <v>4.5225406192359138E-2</v>
      </c>
    </row>
    <row r="165" spans="1:4" ht="15.75" customHeight="1">
      <c r="A165" s="1225" t="s">
        <v>1583</v>
      </c>
      <c r="B165" s="1225" t="s">
        <v>1706</v>
      </c>
      <c r="C165" s="1226">
        <v>67693500</v>
      </c>
      <c r="D165" s="621">
        <f t="shared" si="8"/>
        <v>3.9683553547622194E-2</v>
      </c>
    </row>
    <row r="166" spans="1:4" ht="15.75" customHeight="1">
      <c r="A166" s="1225" t="s">
        <v>1583</v>
      </c>
      <c r="B166" s="1225" t="s">
        <v>1707</v>
      </c>
      <c r="C166" s="1226">
        <v>67693500</v>
      </c>
      <c r="D166" s="621">
        <f t="shared" si="8"/>
        <v>3.9683553547622194E-2</v>
      </c>
    </row>
    <row r="167" spans="1:4" ht="15.75" customHeight="1">
      <c r="A167" s="1225" t="s">
        <v>1583</v>
      </c>
      <c r="B167" s="1225" t="s">
        <v>1708</v>
      </c>
      <c r="C167" s="1226">
        <v>60363657</v>
      </c>
      <c r="D167" s="621">
        <f t="shared" si="8"/>
        <v>3.5386623751021876E-2</v>
      </c>
    </row>
    <row r="168" spans="1:4" ht="15.75" customHeight="1">
      <c r="A168" s="1225" t="s">
        <v>1583</v>
      </c>
      <c r="B168" s="1225" t="s">
        <v>1709</v>
      </c>
      <c r="C168" s="1226">
        <v>60363657</v>
      </c>
      <c r="D168" s="621">
        <f t="shared" si="8"/>
        <v>3.5386623751021876E-2</v>
      </c>
    </row>
    <row r="169" spans="1:4" ht="15.75" customHeight="1">
      <c r="A169" s="1225" t="s">
        <v>1583</v>
      </c>
      <c r="B169" s="1225" t="s">
        <v>1710</v>
      </c>
      <c r="C169" s="1226">
        <v>57119722</v>
      </c>
      <c r="D169" s="621">
        <f t="shared" si="8"/>
        <v>3.3484951237745031E-2</v>
      </c>
    </row>
    <row r="170" spans="1:4" ht="15.75" customHeight="1">
      <c r="A170" s="1225" t="s">
        <v>1583</v>
      </c>
      <c r="B170" s="1225" t="s">
        <v>1711</v>
      </c>
      <c r="C170" s="1226">
        <v>48679456</v>
      </c>
      <c r="D170" s="621">
        <f t="shared" si="8"/>
        <v>2.8537064841456246E-2</v>
      </c>
    </row>
    <row r="171" spans="1:4" ht="15.75" customHeight="1">
      <c r="A171" s="1225" t="s">
        <v>1583</v>
      </c>
      <c r="B171" s="1225" t="s">
        <v>1712</v>
      </c>
      <c r="C171" s="1226">
        <v>47248405</v>
      </c>
      <c r="D171" s="621">
        <f t="shared" si="8"/>
        <v>2.7698148416867796E-2</v>
      </c>
    </row>
    <row r="172" spans="1:4" ht="15.75" customHeight="1">
      <c r="A172" s="1225" t="s">
        <v>1583</v>
      </c>
      <c r="B172" s="1225" t="s">
        <v>1713</v>
      </c>
      <c r="C172" s="1226">
        <v>27578669</v>
      </c>
      <c r="D172" s="621">
        <f t="shared" si="8"/>
        <v>1.6167277331407715E-2</v>
      </c>
    </row>
    <row r="173" spans="1:4" ht="15.75" customHeight="1">
      <c r="A173" s="1225" t="s">
        <v>1583</v>
      </c>
      <c r="B173" s="1225" t="s">
        <v>1714</v>
      </c>
      <c r="C173" s="1226">
        <v>21446600</v>
      </c>
      <c r="D173" s="621">
        <f t="shared" si="8"/>
        <v>1.2572511386092226E-2</v>
      </c>
    </row>
    <row r="174" spans="1:4" ht="15.75" customHeight="1">
      <c r="A174" s="1225" t="s">
        <v>1583</v>
      </c>
      <c r="B174" s="1225" t="s">
        <v>1715</v>
      </c>
      <c r="C174" s="1226">
        <v>17000000</v>
      </c>
      <c r="D174" s="621">
        <f t="shared" si="8"/>
        <v>9.9658078000040961E-3</v>
      </c>
    </row>
    <row r="175" spans="1:4" ht="15.75" customHeight="1">
      <c r="A175" s="1225" t="s">
        <v>1583</v>
      </c>
      <c r="B175" s="1225" t="s">
        <v>1716</v>
      </c>
      <c r="C175" s="1226">
        <v>11356311</v>
      </c>
      <c r="D175" s="621">
        <f t="shared" si="8"/>
        <v>6.6573419260630776E-3</v>
      </c>
    </row>
    <row r="176" spans="1:4" ht="15.75" customHeight="1">
      <c r="A176" s="1225" t="s">
        <v>1583</v>
      </c>
      <c r="B176" s="1225" t="s">
        <v>1717</v>
      </c>
      <c r="C176" s="1226">
        <v>10013000</v>
      </c>
      <c r="D176" s="621">
        <f t="shared" si="8"/>
        <v>5.8698607942024124E-3</v>
      </c>
    </row>
    <row r="177" spans="1:4" ht="15.75" customHeight="1">
      <c r="A177" s="1225" t="s">
        <v>1583</v>
      </c>
      <c r="B177" s="1225" t="s">
        <v>1718</v>
      </c>
      <c r="C177" s="1226">
        <v>9765000</v>
      </c>
      <c r="D177" s="621">
        <f t="shared" si="8"/>
        <v>5.7244772451200002E-3</v>
      </c>
    </row>
    <row r="178" spans="1:4" ht="15.75" customHeight="1">
      <c r="A178" s="1225" t="s">
        <v>1583</v>
      </c>
      <c r="B178" s="1225" t="s">
        <v>1719</v>
      </c>
      <c r="C178" s="1226">
        <v>7501298</v>
      </c>
      <c r="D178" s="621">
        <f t="shared" si="8"/>
        <v>4.3974408305032424E-3</v>
      </c>
    </row>
    <row r="179" spans="1:4" ht="15.75" customHeight="1">
      <c r="A179" s="1225" t="s">
        <v>1583</v>
      </c>
      <c r="B179" s="1225" t="s">
        <v>1720</v>
      </c>
      <c r="C179" s="1226">
        <v>7499465</v>
      </c>
      <c r="D179" s="621">
        <f t="shared" si="8"/>
        <v>4.3963662819328066E-3</v>
      </c>
    </row>
    <row r="180" spans="1:4" ht="15.75" customHeight="1">
      <c r="A180" s="1225" t="s">
        <v>1583</v>
      </c>
      <c r="B180" s="1225" t="s">
        <v>1721</v>
      </c>
      <c r="C180" s="1226">
        <v>6807532</v>
      </c>
      <c r="D180" s="621">
        <f t="shared" si="8"/>
        <v>3.9907385590810286E-3</v>
      </c>
    </row>
    <row r="181" spans="1:4" ht="15.75" customHeight="1">
      <c r="A181" s="1225" t="s">
        <v>1583</v>
      </c>
      <c r="B181" s="1225" t="s">
        <v>1615</v>
      </c>
      <c r="C181" s="1226">
        <v>5895474</v>
      </c>
      <c r="D181" s="621">
        <f t="shared" si="8"/>
        <v>3.4560682808189029E-3</v>
      </c>
    </row>
    <row r="182" spans="1:4" ht="15.75" customHeight="1">
      <c r="A182" s="1225" t="s">
        <v>1583</v>
      </c>
      <c r="B182" s="1225" t="s">
        <v>1722</v>
      </c>
      <c r="C182" s="1226">
        <v>4861197</v>
      </c>
      <c r="D182" s="621">
        <f t="shared" si="8"/>
        <v>2.8497502929386185E-3</v>
      </c>
    </row>
    <row r="183" spans="1:4" ht="15.75" customHeight="1">
      <c r="A183" s="1225" t="s">
        <v>1583</v>
      </c>
      <c r="B183" s="1225" t="s">
        <v>1723</v>
      </c>
      <c r="C183" s="1226">
        <v>4287824</v>
      </c>
      <c r="D183" s="621">
        <f t="shared" si="8"/>
        <v>2.5136252861320449E-3</v>
      </c>
    </row>
    <row r="184" spans="1:4" ht="15.75" customHeight="1">
      <c r="A184" s="1225" t="s">
        <v>1583</v>
      </c>
      <c r="B184" s="1225" t="s">
        <v>1724</v>
      </c>
      <c r="C184" s="1226">
        <v>4015000</v>
      </c>
      <c r="D184" s="621">
        <f t="shared" si="8"/>
        <v>2.3536893127656731E-3</v>
      </c>
    </row>
    <row r="185" spans="1:4" ht="15.75" customHeight="1">
      <c r="A185" s="1225" t="s">
        <v>1583</v>
      </c>
      <c r="B185" s="1225" t="s">
        <v>1619</v>
      </c>
      <c r="C185" s="1226">
        <v>3850000</v>
      </c>
      <c r="D185" s="621">
        <f t="shared" si="8"/>
        <v>2.2569623547068099E-3</v>
      </c>
    </row>
    <row r="186" spans="1:4" ht="15.75" customHeight="1">
      <c r="A186" s="1225" t="s">
        <v>1583</v>
      </c>
      <c r="B186" s="1225" t="s">
        <v>1725</v>
      </c>
      <c r="C186" s="1226">
        <v>3700000</v>
      </c>
      <c r="D186" s="621">
        <f t="shared" si="8"/>
        <v>2.1690287564714796E-3</v>
      </c>
    </row>
    <row r="187" spans="1:4" ht="15.75" customHeight="1">
      <c r="A187" s="1225" t="s">
        <v>1583</v>
      </c>
      <c r="B187" s="1225" t="s">
        <v>1726</v>
      </c>
      <c r="C187" s="1226">
        <v>3700000</v>
      </c>
      <c r="D187" s="621">
        <f t="shared" si="8"/>
        <v>2.1690287564714796E-3</v>
      </c>
    </row>
    <row r="188" spans="1:4" ht="15.75" customHeight="1">
      <c r="A188" s="1225" t="s">
        <v>1583</v>
      </c>
      <c r="B188" s="1225" t="s">
        <v>1727</v>
      </c>
      <c r="C188" s="1226">
        <v>3591000</v>
      </c>
      <c r="D188" s="621">
        <f t="shared" si="8"/>
        <v>2.1051303417538064E-3</v>
      </c>
    </row>
    <row r="189" spans="1:4" ht="15.75" customHeight="1">
      <c r="A189" s="1225" t="s">
        <v>1583</v>
      </c>
      <c r="B189" s="1225" t="s">
        <v>1728</v>
      </c>
      <c r="C189" s="1226">
        <v>2999480</v>
      </c>
      <c r="D189" s="621">
        <f t="shared" si="8"/>
        <v>1.7583671282327227E-3</v>
      </c>
    </row>
    <row r="190" spans="1:4" ht="15.75" customHeight="1">
      <c r="A190" s="1225" t="s">
        <v>1583</v>
      </c>
      <c r="B190" s="1225" t="s">
        <v>1729</v>
      </c>
      <c r="C190" s="1226">
        <v>2888000</v>
      </c>
      <c r="D190" s="621">
        <f t="shared" si="8"/>
        <v>1.6930148780242252E-3</v>
      </c>
    </row>
    <row r="191" spans="1:4" ht="15.75" customHeight="1">
      <c r="A191" s="1225" t="s">
        <v>1583</v>
      </c>
      <c r="B191" s="1225" t="s">
        <v>1730</v>
      </c>
      <c r="C191" s="1226">
        <v>2520000</v>
      </c>
      <c r="D191" s="621">
        <f t="shared" si="8"/>
        <v>1.4772844503535484E-3</v>
      </c>
    </row>
    <row r="192" spans="1:4" ht="15.75" customHeight="1">
      <c r="A192" s="1225" t="s">
        <v>1583</v>
      </c>
      <c r="B192" s="1225" t="s">
        <v>1731</v>
      </c>
      <c r="C192" s="1226">
        <v>1968748</v>
      </c>
      <c r="D192" s="621">
        <f t="shared" si="8"/>
        <v>1.1541273043907331E-3</v>
      </c>
    </row>
    <row r="193" spans="1:4" ht="15.75" customHeight="1">
      <c r="A193" s="1225" t="s">
        <v>1583</v>
      </c>
      <c r="B193" s="1225" t="s">
        <v>1732</v>
      </c>
      <c r="C193" s="1226">
        <v>1580159</v>
      </c>
      <c r="D193" s="621">
        <f t="shared" si="8"/>
        <v>9.2632711102627488E-4</v>
      </c>
    </row>
    <row r="194" spans="1:4" ht="15.75" customHeight="1">
      <c r="A194" s="1225" t="s">
        <v>1583</v>
      </c>
      <c r="B194" s="1225" t="s">
        <v>1733</v>
      </c>
      <c r="C194" s="1226">
        <v>1560000</v>
      </c>
      <c r="D194" s="621">
        <f t="shared" si="8"/>
        <v>9.1450942164743472E-4</v>
      </c>
    </row>
    <row r="195" spans="1:4" ht="15.75" customHeight="1">
      <c r="A195" s="1225" t="s">
        <v>1583</v>
      </c>
      <c r="B195" s="1225" t="s">
        <v>1734</v>
      </c>
      <c r="C195" s="1226">
        <v>1559210</v>
      </c>
      <c r="D195" s="621">
        <f t="shared" si="8"/>
        <v>9.1404630469672863E-4</v>
      </c>
    </row>
    <row r="196" spans="1:4" ht="15.75" customHeight="1">
      <c r="A196" s="1225" t="s">
        <v>1583</v>
      </c>
      <c r="B196" s="1225" t="s">
        <v>1735</v>
      </c>
      <c r="C196" s="1226">
        <v>1503200</v>
      </c>
      <c r="D196" s="621">
        <f t="shared" si="8"/>
        <v>8.8121189911565629E-4</v>
      </c>
    </row>
    <row r="197" spans="1:4" ht="15.75" customHeight="1">
      <c r="A197" s="1225" t="s">
        <v>1583</v>
      </c>
      <c r="B197" s="1225" t="s">
        <v>1625</v>
      </c>
      <c r="C197" s="1226">
        <v>1040153</v>
      </c>
      <c r="D197" s="621">
        <f t="shared" si="8"/>
        <v>6.0976264003515651E-4</v>
      </c>
    </row>
    <row r="198" spans="1:4" ht="15.75" customHeight="1">
      <c r="A198" s="1225" t="s">
        <v>1583</v>
      </c>
      <c r="B198" s="1225" t="s">
        <v>1736</v>
      </c>
      <c r="C198" s="1226">
        <v>756941</v>
      </c>
      <c r="D198" s="621">
        <f t="shared" si="8"/>
        <v>4.4373697187899413E-4</v>
      </c>
    </row>
    <row r="199" spans="1:4" ht="15.75" customHeight="1">
      <c r="A199" s="1225" t="s">
        <v>1583</v>
      </c>
      <c r="B199" s="1225" t="s">
        <v>1737</v>
      </c>
      <c r="C199" s="1226">
        <v>415000</v>
      </c>
      <c r="D199" s="621">
        <f t="shared" si="8"/>
        <v>2.4328295511774706E-4</v>
      </c>
    </row>
    <row r="200" spans="1:4" ht="15.75" customHeight="1">
      <c r="A200" s="1225" t="s">
        <v>1583</v>
      </c>
      <c r="B200" s="1225" t="s">
        <v>1738</v>
      </c>
      <c r="C200" s="1226">
        <v>316613</v>
      </c>
      <c r="D200" s="621">
        <f t="shared" si="8"/>
        <v>1.8560613558721748E-4</v>
      </c>
    </row>
    <row r="201" spans="1:4" ht="15.75" customHeight="1">
      <c r="A201" s="1225" t="s">
        <v>1583</v>
      </c>
      <c r="B201" s="1225" t="s">
        <v>1718</v>
      </c>
      <c r="C201" s="1226">
        <v>315000</v>
      </c>
      <c r="D201" s="621">
        <f t="shared" si="8"/>
        <v>1.8466055629419355E-4</v>
      </c>
    </row>
    <row r="202" spans="1:4" ht="15.75" customHeight="1">
      <c r="A202" s="1225" t="s">
        <v>1583</v>
      </c>
      <c r="B202" s="1225" t="s">
        <v>1739</v>
      </c>
      <c r="C202" s="1226">
        <v>305921</v>
      </c>
      <c r="D202" s="621">
        <f t="shared" si="8"/>
        <v>1.7933822870500312E-4</v>
      </c>
    </row>
    <row r="203" spans="1:4" ht="15.75" customHeight="1">
      <c r="A203" s="1225" t="s">
        <v>1583</v>
      </c>
      <c r="B203" s="1225" t="s">
        <v>1740</v>
      </c>
      <c r="C203" s="1226">
        <v>235500</v>
      </c>
      <c r="D203" s="621">
        <f t="shared" si="8"/>
        <v>1.380557492294685E-4</v>
      </c>
    </row>
    <row r="204" spans="1:4" ht="15.75" customHeight="1">
      <c r="A204" s="1225" t="s">
        <v>1583</v>
      </c>
      <c r="B204" s="1225" t="s">
        <v>1741</v>
      </c>
      <c r="C204" s="1226">
        <v>135000</v>
      </c>
      <c r="D204" s="621">
        <f t="shared" si="8"/>
        <v>7.914023841179724E-5</v>
      </c>
    </row>
    <row r="205" spans="1:4" ht="15.75" customHeight="1">
      <c r="A205" s="1225" t="s">
        <v>1584</v>
      </c>
      <c r="B205" s="1225" t="s">
        <v>1742</v>
      </c>
      <c r="C205" s="1226">
        <v>9799032</v>
      </c>
      <c r="D205" s="621">
        <f t="shared" si="8"/>
        <v>5.7444276198876315E-3</v>
      </c>
    </row>
    <row r="206" spans="1:4" ht="15.75" customHeight="1">
      <c r="A206" s="1225" t="s">
        <v>1584</v>
      </c>
      <c r="B206" s="1225" t="s">
        <v>1743</v>
      </c>
      <c r="C206" s="1226">
        <v>7750300</v>
      </c>
      <c r="D206" s="621">
        <f t="shared" si="8"/>
        <v>4.5434117760218672E-3</v>
      </c>
    </row>
    <row r="207" spans="1:4" ht="15.75" customHeight="1">
      <c r="A207" s="1225" t="s">
        <v>1584</v>
      </c>
      <c r="B207" s="1225" t="s">
        <v>1744</v>
      </c>
      <c r="C207" s="1226">
        <v>7009400</v>
      </c>
      <c r="D207" s="621">
        <f t="shared" si="8"/>
        <v>4.1090784231381594E-3</v>
      </c>
    </row>
    <row r="208" spans="1:4" ht="15.75" customHeight="1">
      <c r="A208" s="1225" t="s">
        <v>1584</v>
      </c>
      <c r="B208" s="1225" t="s">
        <v>1680</v>
      </c>
      <c r="C208" s="1226">
        <v>5724000</v>
      </c>
      <c r="D208" s="621">
        <f t="shared" si="8"/>
        <v>3.3555461086602028E-3</v>
      </c>
    </row>
    <row r="209" spans="1:4" ht="15.75" customHeight="1">
      <c r="A209" s="1225" t="s">
        <v>1584</v>
      </c>
      <c r="B209" s="1225" t="s">
        <v>1745</v>
      </c>
      <c r="C209" s="1226">
        <v>5205000</v>
      </c>
      <c r="D209" s="621">
        <f t="shared" si="8"/>
        <v>3.0512958587659601E-3</v>
      </c>
    </row>
    <row r="210" spans="1:4" ht="15.75" customHeight="1">
      <c r="A210" s="1225" t="s">
        <v>1584</v>
      </c>
      <c r="B210" s="1225" t="s">
        <v>1746</v>
      </c>
      <c r="C210" s="1226">
        <v>3931200</v>
      </c>
      <c r="D210" s="621">
        <f t="shared" si="8"/>
        <v>2.3045637425515354E-3</v>
      </c>
    </row>
    <row r="211" spans="1:4" ht="15.75" customHeight="1">
      <c r="A211" s="1225" t="s">
        <v>1584</v>
      </c>
      <c r="B211" s="1225" t="s">
        <v>1747</v>
      </c>
      <c r="C211" s="1226">
        <v>3840000</v>
      </c>
      <c r="D211" s="621">
        <f t="shared" si="8"/>
        <v>2.2511001148244549E-3</v>
      </c>
    </row>
    <row r="212" spans="1:4" ht="15.75" customHeight="1">
      <c r="A212" s="1225" t="s">
        <v>1584</v>
      </c>
      <c r="B212" s="1225" t="s">
        <v>1748</v>
      </c>
      <c r="C212" s="1226">
        <v>3630000</v>
      </c>
      <c r="D212" s="621">
        <f t="shared" si="8"/>
        <v>2.1279930772949924E-3</v>
      </c>
    </row>
    <row r="213" spans="1:4" ht="15.75" customHeight="1">
      <c r="A213" s="1225" t="s">
        <v>1584</v>
      </c>
      <c r="B213" s="1225" t="s">
        <v>1749</v>
      </c>
      <c r="C213" s="1226">
        <v>2679500</v>
      </c>
      <c r="D213" s="621">
        <f t="shared" si="8"/>
        <v>1.5707871764771163E-3</v>
      </c>
    </row>
    <row r="214" spans="1:4" ht="15.75" customHeight="1">
      <c r="A214" s="1225" t="s">
        <v>1584</v>
      </c>
      <c r="B214" s="1225" t="s">
        <v>1750</v>
      </c>
      <c r="C214" s="1226">
        <v>2415600</v>
      </c>
      <c r="D214" s="621">
        <f t="shared" si="8"/>
        <v>1.4160826659817586E-3</v>
      </c>
    </row>
    <row r="215" spans="1:4" ht="15.75" customHeight="1">
      <c r="A215" s="1225" t="s">
        <v>1584</v>
      </c>
      <c r="B215" s="1225" t="s">
        <v>1751</v>
      </c>
      <c r="C215" s="1226">
        <v>2076165</v>
      </c>
      <c r="D215" s="621">
        <f t="shared" si="8"/>
        <v>1.2170977265350297E-3</v>
      </c>
    </row>
    <row r="216" spans="1:4" ht="15.75" customHeight="1">
      <c r="A216" s="1225" t="s">
        <v>1584</v>
      </c>
      <c r="B216" s="1225" t="s">
        <v>1752</v>
      </c>
      <c r="C216" s="1226">
        <v>1794000</v>
      </c>
      <c r="D216" s="621">
        <f t="shared" si="8"/>
        <v>1.0516858348945499E-3</v>
      </c>
    </row>
    <row r="217" spans="1:4" ht="15.75" customHeight="1">
      <c r="A217" s="1225" t="s">
        <v>1584</v>
      </c>
      <c r="B217" s="1225" t="s">
        <v>1753</v>
      </c>
      <c r="C217" s="1226">
        <v>1710991</v>
      </c>
      <c r="D217" s="621">
        <f t="shared" si="8"/>
        <v>1.0030239678551064E-3</v>
      </c>
    </row>
    <row r="218" spans="1:4" ht="15.75" customHeight="1">
      <c r="A218" s="1225" t="s">
        <v>1584</v>
      </c>
      <c r="B218" s="1225" t="s">
        <v>1754</v>
      </c>
      <c r="C218" s="1226">
        <v>1439900</v>
      </c>
      <c r="D218" s="621">
        <f t="shared" si="8"/>
        <v>8.4410392066034691E-4</v>
      </c>
    </row>
    <row r="219" spans="1:4" ht="15.75" customHeight="1">
      <c r="A219" s="1225" t="s">
        <v>1584</v>
      </c>
      <c r="B219" s="1225" t="s">
        <v>1755</v>
      </c>
      <c r="C219" s="1226">
        <v>1320000</v>
      </c>
      <c r="D219" s="621">
        <f t="shared" si="8"/>
        <v>7.7381566447090632E-4</v>
      </c>
    </row>
    <row r="220" spans="1:4" ht="15.75" customHeight="1">
      <c r="A220" s="1225" t="s">
        <v>1584</v>
      </c>
      <c r="B220" s="1225" t="s">
        <v>1756</v>
      </c>
      <c r="C220" s="1226">
        <v>1285200</v>
      </c>
      <c r="D220" s="621">
        <f t="shared" si="8"/>
        <v>7.5341506968030971E-4</v>
      </c>
    </row>
    <row r="221" spans="1:4" ht="15.75" customHeight="1">
      <c r="A221" s="1225" t="s">
        <v>1584</v>
      </c>
      <c r="B221" s="1225" t="s">
        <v>1757</v>
      </c>
      <c r="C221" s="1226">
        <v>1186380</v>
      </c>
      <c r="D221" s="621">
        <f t="shared" si="8"/>
        <v>6.9548441516287414E-4</v>
      </c>
    </row>
    <row r="222" spans="1:4" ht="15.75" customHeight="1">
      <c r="A222" s="1225" t="s">
        <v>1584</v>
      </c>
      <c r="B222" s="1225" t="s">
        <v>1758</v>
      </c>
      <c r="C222" s="1226">
        <v>1117500</v>
      </c>
      <c r="D222" s="621">
        <f t="shared" si="8"/>
        <v>6.5510530685321039E-4</v>
      </c>
    </row>
    <row r="223" spans="1:4" ht="15.75" customHeight="1">
      <c r="A223" s="1225" t="s">
        <v>1584</v>
      </c>
      <c r="B223" s="1225" t="s">
        <v>1759</v>
      </c>
      <c r="C223" s="1226">
        <v>1038700</v>
      </c>
      <c r="D223" s="621">
        <f t="shared" si="8"/>
        <v>6.0891085658025025E-4</v>
      </c>
    </row>
    <row r="224" spans="1:4" ht="15.75" customHeight="1">
      <c r="A224" s="1225" t="s">
        <v>1584</v>
      </c>
      <c r="B224" s="1225" t="s">
        <v>1760</v>
      </c>
      <c r="C224" s="1226">
        <v>989900</v>
      </c>
      <c r="D224" s="621">
        <f t="shared" si="8"/>
        <v>5.8030312595435622E-4</v>
      </c>
    </row>
    <row r="225" spans="1:4" ht="15.75" customHeight="1">
      <c r="A225" s="1225" t="s">
        <v>1584</v>
      </c>
      <c r="B225" s="1225" t="s">
        <v>1761</v>
      </c>
      <c r="C225" s="1226">
        <v>855000</v>
      </c>
      <c r="D225" s="621">
        <f t="shared" si="8"/>
        <v>5.0122150994138246E-4</v>
      </c>
    </row>
    <row r="226" spans="1:4" ht="15.75" customHeight="1">
      <c r="A226" s="1225" t="s">
        <v>1584</v>
      </c>
      <c r="B226" s="1225" t="s">
        <v>1762</v>
      </c>
      <c r="C226" s="1226">
        <v>694000</v>
      </c>
      <c r="D226" s="621">
        <f t="shared" si="8"/>
        <v>4.0683944783546135E-4</v>
      </c>
    </row>
    <row r="227" spans="1:4" ht="15.75" customHeight="1">
      <c r="A227" s="1225" t="s">
        <v>1584</v>
      </c>
      <c r="B227" s="1225" t="s">
        <v>1763</v>
      </c>
      <c r="C227" s="1226">
        <v>670500</v>
      </c>
      <c r="D227" s="621">
        <f t="shared" si="8"/>
        <v>3.9306318411192625E-4</v>
      </c>
    </row>
    <row r="228" spans="1:4" ht="15.75" customHeight="1">
      <c r="A228" s="1225" t="s">
        <v>1584</v>
      </c>
      <c r="B228" s="1225" t="s">
        <v>1764</v>
      </c>
      <c r="C228" s="1226">
        <v>660000</v>
      </c>
      <c r="D228" s="621">
        <f t="shared" si="8"/>
        <v>3.8690783223545316E-4</v>
      </c>
    </row>
    <row r="229" spans="1:4" ht="15.75" customHeight="1">
      <c r="A229" s="1225" t="s">
        <v>1584</v>
      </c>
      <c r="B229" s="1225" t="s">
        <v>1765</v>
      </c>
      <c r="C229" s="1226">
        <v>636800</v>
      </c>
      <c r="D229" s="621">
        <f t="shared" si="8"/>
        <v>3.7330743570838872E-4</v>
      </c>
    </row>
    <row r="230" spans="1:4" ht="15.75" customHeight="1">
      <c r="A230" s="1225" t="s">
        <v>1584</v>
      </c>
      <c r="B230" s="1225" t="s">
        <v>1766</v>
      </c>
      <c r="C230" s="1226">
        <v>528000</v>
      </c>
      <c r="D230" s="621">
        <f t="shared" si="8"/>
        <v>3.0952626578836253E-4</v>
      </c>
    </row>
    <row r="231" spans="1:4" ht="15.75" customHeight="1">
      <c r="A231" s="1225" t="s">
        <v>1584</v>
      </c>
      <c r="B231" s="1225" t="s">
        <v>1767</v>
      </c>
      <c r="C231" s="1226">
        <v>482273</v>
      </c>
      <c r="D231" s="621">
        <f t="shared" si="8"/>
        <v>2.827200014783162E-4</v>
      </c>
    </row>
    <row r="232" spans="1:4" ht="15.75" customHeight="1">
      <c r="A232" s="1225" t="s">
        <v>1584</v>
      </c>
      <c r="B232" s="1225" t="s">
        <v>1768</v>
      </c>
      <c r="C232" s="1226">
        <v>480000</v>
      </c>
      <c r="D232" s="621">
        <f t="shared" si="8"/>
        <v>2.8138751435305686E-4</v>
      </c>
    </row>
    <row r="233" spans="1:4" ht="15.75" customHeight="1">
      <c r="A233" s="1225" t="s">
        <v>1584</v>
      </c>
      <c r="B233" s="1225" t="s">
        <v>1769</v>
      </c>
      <c r="C233" s="1226">
        <v>426800</v>
      </c>
      <c r="D233" s="621">
        <f t="shared" si="8"/>
        <v>2.5020039817892636E-4</v>
      </c>
    </row>
    <row r="234" spans="1:4" ht="15.75" customHeight="1">
      <c r="A234" s="1225" t="s">
        <v>1584</v>
      </c>
      <c r="B234" s="1225" t="s">
        <v>1770</v>
      </c>
      <c r="C234" s="1226">
        <v>426800</v>
      </c>
      <c r="D234" s="621">
        <f t="shared" si="8"/>
        <v>2.5020039817892636E-4</v>
      </c>
    </row>
    <row r="235" spans="1:4" ht="15.75" customHeight="1">
      <c r="A235" s="1225" t="s">
        <v>1584</v>
      </c>
      <c r="B235" s="1225" t="s">
        <v>1771</v>
      </c>
      <c r="C235" s="1226">
        <v>396000</v>
      </c>
      <c r="D235" s="621">
        <f t="shared" si="8"/>
        <v>2.321446993412719E-4</v>
      </c>
    </row>
    <row r="236" spans="1:4" ht="15.75" customHeight="1">
      <c r="A236" s="1225" t="s">
        <v>1584</v>
      </c>
      <c r="B236" s="1225" t="s">
        <v>1772</v>
      </c>
      <c r="C236" s="1226">
        <v>395960</v>
      </c>
      <c r="D236" s="621">
        <f t="shared" si="8"/>
        <v>2.3212125038174248E-4</v>
      </c>
    </row>
    <row r="237" spans="1:4" ht="15.75" customHeight="1">
      <c r="A237" s="1225" t="s">
        <v>1584</v>
      </c>
      <c r="B237" s="1225" t="s">
        <v>1773</v>
      </c>
      <c r="C237" s="1226">
        <v>385000</v>
      </c>
      <c r="D237" s="621">
        <f t="shared" si="8"/>
        <v>2.2569623547068101E-4</v>
      </c>
    </row>
    <row r="238" spans="1:4" ht="15.75" customHeight="1">
      <c r="A238" s="1225" t="s">
        <v>1584</v>
      </c>
      <c r="B238" s="1225" t="s">
        <v>1774</v>
      </c>
      <c r="C238" s="1226">
        <v>384000</v>
      </c>
      <c r="D238" s="621">
        <f t="shared" si="8"/>
        <v>2.2511001148244547E-4</v>
      </c>
    </row>
    <row r="239" spans="1:4" ht="15.75" customHeight="1">
      <c r="A239" s="1225" t="s">
        <v>1584</v>
      </c>
      <c r="B239" s="1225" t="s">
        <v>1775</v>
      </c>
      <c r="C239" s="1226">
        <v>379500</v>
      </c>
      <c r="D239" s="621">
        <f t="shared" si="8"/>
        <v>2.2247200353538556E-4</v>
      </c>
    </row>
    <row r="240" spans="1:4" ht="15.75" customHeight="1">
      <c r="A240" s="1225" t="s">
        <v>1584</v>
      </c>
      <c r="B240" s="1225" t="s">
        <v>1776</v>
      </c>
      <c r="C240" s="1226">
        <v>366600</v>
      </c>
      <c r="D240" s="621">
        <f t="shared" si="8"/>
        <v>2.1490971408714716E-4</v>
      </c>
    </row>
    <row r="241" spans="1:4" ht="15.75" customHeight="1">
      <c r="A241" s="1225" t="s">
        <v>1584</v>
      </c>
      <c r="B241" s="1225" t="s">
        <v>1777</v>
      </c>
      <c r="C241" s="1226">
        <v>330000</v>
      </c>
      <c r="D241" s="621">
        <f t="shared" si="8"/>
        <v>1.9345391611772658E-4</v>
      </c>
    </row>
    <row r="242" spans="1:4" ht="15.75" customHeight="1">
      <c r="A242" s="1225" t="s">
        <v>1584</v>
      </c>
      <c r="B242" s="1225" t="s">
        <v>1778</v>
      </c>
      <c r="C242" s="1226">
        <v>319600</v>
      </c>
      <c r="D242" s="621">
        <f t="shared" si="8"/>
        <v>1.8735718664007701E-4</v>
      </c>
    </row>
    <row r="243" spans="1:4" ht="15.75" customHeight="1">
      <c r="A243" s="1225" t="s">
        <v>1584</v>
      </c>
      <c r="B243" s="1225" t="s">
        <v>1779</v>
      </c>
      <c r="C243" s="1226">
        <v>307700</v>
      </c>
      <c r="D243" s="621">
        <f t="shared" si="8"/>
        <v>1.8038112118007413E-4</v>
      </c>
    </row>
    <row r="244" spans="1:4" ht="15.75" customHeight="1">
      <c r="A244" s="1225" t="s">
        <v>1584</v>
      </c>
      <c r="B244" s="1225" t="s">
        <v>1780</v>
      </c>
      <c r="C244" s="1226">
        <v>296595</v>
      </c>
      <c r="D244" s="621">
        <f t="shared" si="8"/>
        <v>1.7387110379071854E-4</v>
      </c>
    </row>
    <row r="245" spans="1:4" ht="15.75" customHeight="1">
      <c r="A245" s="1225" t="s">
        <v>1584</v>
      </c>
      <c r="B245" s="1225" t="s">
        <v>1781</v>
      </c>
      <c r="C245" s="1226">
        <v>296595</v>
      </c>
      <c r="D245" s="621">
        <f t="shared" si="8"/>
        <v>1.7387110379071854E-4</v>
      </c>
    </row>
    <row r="246" spans="1:4" ht="15.75" customHeight="1">
      <c r="A246" s="1225" t="s">
        <v>1584</v>
      </c>
      <c r="B246" s="1225" t="s">
        <v>1782</v>
      </c>
      <c r="C246" s="1226">
        <v>260000</v>
      </c>
      <c r="D246" s="621">
        <f t="shared" si="8"/>
        <v>1.5241823694123912E-4</v>
      </c>
    </row>
    <row r="247" spans="1:4" ht="15.75" customHeight="1">
      <c r="A247" s="1225" t="s">
        <v>1584</v>
      </c>
      <c r="B247" s="1225" t="s">
        <v>1783</v>
      </c>
      <c r="C247" s="1226">
        <v>259600</v>
      </c>
      <c r="D247" s="621">
        <f t="shared" si="8"/>
        <v>1.5218374734594491E-4</v>
      </c>
    </row>
    <row r="248" spans="1:4" ht="15.75" customHeight="1">
      <c r="A248" s="1225" t="s">
        <v>1584</v>
      </c>
      <c r="B248" s="1225" t="s">
        <v>1784</v>
      </c>
      <c r="C248" s="1226">
        <v>223500</v>
      </c>
      <c r="D248" s="621">
        <f t="shared" si="8"/>
        <v>1.3102106137064209E-4</v>
      </c>
    </row>
    <row r="249" spans="1:4" ht="15.75" customHeight="1">
      <c r="A249" s="1225" t="s">
        <v>1584</v>
      </c>
      <c r="B249" s="1225" t="s">
        <v>1785</v>
      </c>
      <c r="C249" s="1226">
        <v>207000</v>
      </c>
      <c r="D249" s="621">
        <f t="shared" si="8"/>
        <v>1.2134836556475576E-4</v>
      </c>
    </row>
    <row r="250" spans="1:4" ht="15.75" customHeight="1">
      <c r="A250" s="1225" t="s">
        <v>1584</v>
      </c>
      <c r="B250" s="1225" t="s">
        <v>1786</v>
      </c>
      <c r="C250" s="1226">
        <v>159200</v>
      </c>
      <c r="D250" s="621">
        <f t="shared" si="8"/>
        <v>9.3326858927097179E-5</v>
      </c>
    </row>
    <row r="251" spans="1:4" ht="15.75" customHeight="1">
      <c r="A251" s="1225" t="s">
        <v>1584</v>
      </c>
      <c r="B251" s="1225" t="s">
        <v>1787</v>
      </c>
      <c r="C251" s="1226">
        <v>-4458847</v>
      </c>
      <c r="D251" s="621">
        <f t="shared" si="8"/>
        <v>-2.6138830712720508E-3</v>
      </c>
    </row>
    <row r="252" spans="1:4" ht="15.75" customHeight="1">
      <c r="A252" s="649"/>
      <c r="B252" s="87"/>
      <c r="C252" s="820">
        <f>SUM(C53:C251)</f>
        <v>1705832617</v>
      </c>
      <c r="D252" s="653">
        <f t="shared" si="8"/>
        <v>1</v>
      </c>
    </row>
  </sheetData>
  <autoFilter ref="G22:M30" xr:uid="{00000000-0009-0000-0000-00000F000000}">
    <sortState xmlns:xlrd2="http://schemas.microsoft.com/office/spreadsheetml/2017/richdata2" ref="G22:M30">
      <sortCondition descending="1" ref="M22:M30"/>
    </sortState>
  </autoFilter>
  <mergeCells count="22">
    <mergeCell ref="A41:B41"/>
    <mergeCell ref="A45:D45"/>
    <mergeCell ref="G39:O39"/>
    <mergeCell ref="G40:O40"/>
    <mergeCell ref="G41:O41"/>
    <mergeCell ref="G21:M21"/>
    <mergeCell ref="A34:O34"/>
    <mergeCell ref="A38:B38"/>
    <mergeCell ref="A39:B39"/>
    <mergeCell ref="A40:B40"/>
    <mergeCell ref="A35:B35"/>
    <mergeCell ref="G35:O35"/>
    <mergeCell ref="A36:B36"/>
    <mergeCell ref="G36:O36"/>
    <mergeCell ref="A37:B37"/>
    <mergeCell ref="G37:O37"/>
    <mergeCell ref="G38:O38"/>
    <mergeCell ref="A1:F1"/>
    <mergeCell ref="A3:R5"/>
    <mergeCell ref="A13:E13"/>
    <mergeCell ref="G13:K13"/>
    <mergeCell ref="M14:N14"/>
  </mergeCells>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FF"/>
  </sheetPr>
  <dimension ref="A1:K46"/>
  <sheetViews>
    <sheetView showGridLines="0" workbookViewId="0"/>
  </sheetViews>
  <sheetFormatPr baseColWidth="10" defaultColWidth="12.6640625" defaultRowHeight="15" customHeight="1"/>
  <cols>
    <col min="1" max="1" width="8.6640625" customWidth="1"/>
    <col min="2" max="2" width="27.109375" customWidth="1"/>
    <col min="3" max="3" width="19.77734375" customWidth="1"/>
    <col min="4" max="4" width="23.109375" customWidth="1"/>
    <col min="5" max="8" width="21.6640625" customWidth="1"/>
    <col min="9" max="9" width="22.33203125" customWidth="1"/>
    <col min="10" max="24" width="8.6640625" customWidth="1"/>
    <col min="25" max="26" width="14.44140625" customWidth="1"/>
  </cols>
  <sheetData>
    <row r="1" spans="1:11" ht="14.25" customHeight="1">
      <c r="A1" s="534" t="s">
        <v>1788</v>
      </c>
      <c r="B1" s="429"/>
      <c r="C1" s="429"/>
      <c r="D1" s="429"/>
      <c r="E1" s="429"/>
      <c r="F1" s="589"/>
      <c r="G1" s="429"/>
      <c r="H1" s="429"/>
      <c r="I1" s="429"/>
      <c r="J1" s="429"/>
      <c r="K1" s="429"/>
    </row>
    <row r="2" spans="1:11" ht="14.25" customHeight="1">
      <c r="A2" s="431"/>
      <c r="B2" s="431"/>
      <c r="C2" s="431"/>
      <c r="D2" s="431"/>
      <c r="E2" s="431"/>
      <c r="F2" s="591"/>
      <c r="G2" s="431"/>
      <c r="H2" s="431"/>
      <c r="I2" s="431"/>
      <c r="J2" s="431"/>
      <c r="K2" s="431"/>
    </row>
    <row r="3" spans="1:11" ht="14.25" customHeight="1">
      <c r="A3" s="431"/>
      <c r="B3" s="1228" t="s">
        <v>1789</v>
      </c>
      <c r="C3" s="1228"/>
      <c r="D3" s="1228"/>
      <c r="E3" s="1228"/>
      <c r="F3" s="1229"/>
      <c r="G3" s="431"/>
      <c r="H3" s="431"/>
      <c r="I3" s="431"/>
      <c r="J3" s="431"/>
      <c r="K3" s="431"/>
    </row>
    <row r="4" spans="1:11" ht="14.25" customHeight="1">
      <c r="A4" s="431"/>
      <c r="B4" s="431"/>
      <c r="C4" s="431"/>
      <c r="D4" s="431"/>
      <c r="E4" s="431"/>
      <c r="F4" s="591"/>
      <c r="G4" s="431"/>
      <c r="H4" s="431"/>
      <c r="I4" s="431"/>
      <c r="J4" s="431"/>
      <c r="K4" s="431"/>
    </row>
    <row r="5" spans="1:11" ht="18" customHeight="1">
      <c r="A5" s="431"/>
      <c r="B5" s="1450" t="s">
        <v>1790</v>
      </c>
      <c r="C5" s="1451"/>
      <c r="D5" s="1451"/>
      <c r="E5" s="1451"/>
      <c r="F5" s="1451"/>
      <c r="G5" s="1451"/>
      <c r="H5" s="1451"/>
      <c r="I5" s="1452"/>
      <c r="J5" s="431"/>
      <c r="K5" s="431"/>
    </row>
    <row r="6" spans="1:11" ht="14.25" customHeight="1">
      <c r="A6" s="431"/>
      <c r="B6" s="1453"/>
      <c r="C6" s="1454"/>
      <c r="D6" s="1454"/>
      <c r="E6" s="1454"/>
      <c r="F6" s="1454"/>
      <c r="G6" s="1454"/>
      <c r="H6" s="1454"/>
      <c r="I6" s="1455"/>
      <c r="J6" s="431"/>
      <c r="K6" s="431"/>
    </row>
    <row r="7" spans="1:11" ht="14.25" customHeight="1">
      <c r="A7" s="431"/>
      <c r="B7" s="435"/>
      <c r="C7" s="435"/>
      <c r="D7" s="435"/>
      <c r="E7" s="435"/>
      <c r="F7" s="594"/>
      <c r="G7" s="435"/>
      <c r="H7" s="435"/>
      <c r="I7" s="435"/>
      <c r="J7" s="431"/>
      <c r="K7" s="431"/>
    </row>
    <row r="8" spans="1:11" ht="18.75" customHeight="1">
      <c r="A8" s="431"/>
      <c r="B8" s="438" t="s">
        <v>426</v>
      </c>
      <c r="C8" s="535" t="s">
        <v>1791</v>
      </c>
      <c r="D8" s="440"/>
      <c r="E8" s="440"/>
      <c r="F8" s="596"/>
      <c r="G8" s="440"/>
      <c r="H8" s="440"/>
      <c r="I8" s="440"/>
      <c r="J8" s="431"/>
      <c r="K8" s="431"/>
    </row>
    <row r="9" spans="1:11" ht="18.75" customHeight="1">
      <c r="A9" s="431"/>
      <c r="B9" s="438" t="s">
        <v>583</v>
      </c>
      <c r="C9" s="535" t="s">
        <v>1792</v>
      </c>
      <c r="D9" s="440"/>
      <c r="E9" s="440"/>
      <c r="F9" s="596"/>
      <c r="G9" s="440"/>
      <c r="H9" s="440"/>
      <c r="I9" s="440"/>
      <c r="J9" s="431"/>
      <c r="K9" s="431"/>
    </row>
    <row r="10" spans="1:11" ht="18.75" customHeight="1">
      <c r="A10" s="431"/>
      <c r="B10" s="1230"/>
      <c r="C10" s="1231" t="s">
        <v>1793</v>
      </c>
      <c r="D10" s="1232"/>
      <c r="E10" s="1232"/>
      <c r="F10" s="1233"/>
      <c r="G10" s="1232"/>
      <c r="H10" s="1232"/>
      <c r="I10" s="1232"/>
      <c r="J10" s="444"/>
      <c r="K10" s="431"/>
    </row>
    <row r="11" spans="1:11" ht="14.25" customHeight="1">
      <c r="A11" s="445"/>
      <c r="B11" s="445"/>
      <c r="C11" s="445"/>
      <c r="D11" s="445"/>
      <c r="E11" s="445"/>
      <c r="F11" s="445"/>
      <c r="G11" s="445"/>
      <c r="H11" s="445"/>
      <c r="I11" s="445"/>
      <c r="J11" s="445"/>
      <c r="K11" s="445"/>
    </row>
    <row r="12" spans="1:11" ht="14.25" customHeight="1">
      <c r="A12" s="445"/>
      <c r="B12" s="1574" t="s">
        <v>1794</v>
      </c>
      <c r="C12" s="1434"/>
      <c r="D12" s="1434"/>
      <c r="E12" s="1434"/>
      <c r="F12" s="1434"/>
      <c r="G12" s="1434"/>
      <c r="H12" s="1434"/>
      <c r="I12" s="1435"/>
      <c r="J12" s="896"/>
      <c r="K12" s="434"/>
    </row>
    <row r="13" spans="1:11" ht="14.25" customHeight="1">
      <c r="A13" s="445"/>
      <c r="B13" s="1024" t="s">
        <v>919</v>
      </c>
      <c r="C13" s="1024" t="s">
        <v>920</v>
      </c>
      <c r="D13" s="1024" t="s">
        <v>921</v>
      </c>
      <c r="E13" s="1024" t="s">
        <v>922</v>
      </c>
      <c r="F13" s="1024" t="s">
        <v>923</v>
      </c>
      <c r="G13" s="1024" t="s">
        <v>1795</v>
      </c>
      <c r="H13" s="1024" t="s">
        <v>1796</v>
      </c>
      <c r="I13" s="1024" t="s">
        <v>458</v>
      </c>
      <c r="J13" s="1119" t="s">
        <v>437</v>
      </c>
      <c r="K13" s="434"/>
    </row>
    <row r="14" spans="1:11" ht="14.25" customHeight="1">
      <c r="A14" s="445"/>
      <c r="B14" s="896" t="s">
        <v>928</v>
      </c>
      <c r="C14" s="896" t="s">
        <v>1797</v>
      </c>
      <c r="D14" s="896" t="s">
        <v>1798</v>
      </c>
      <c r="E14" s="896" t="s">
        <v>931</v>
      </c>
      <c r="F14" s="896" t="s">
        <v>1799</v>
      </c>
      <c r="G14" s="896" t="s">
        <v>1800</v>
      </c>
      <c r="H14" s="1155">
        <v>11.3</v>
      </c>
      <c r="I14" s="896" t="s">
        <v>1521</v>
      </c>
      <c r="J14" s="1162">
        <f>+H14*VLOOKUP(G14,'Factores Emisión EDGE'!$K$20:$L$120,2,FALSE)/1000</f>
        <v>23.5944</v>
      </c>
      <c r="K14" s="434"/>
    </row>
    <row r="15" spans="1:11" ht="14.25" customHeight="1">
      <c r="A15" s="445"/>
      <c r="B15" s="896" t="s">
        <v>928</v>
      </c>
      <c r="C15" s="896" t="s">
        <v>1797</v>
      </c>
      <c r="D15" s="896" t="s">
        <v>1798</v>
      </c>
      <c r="E15" s="896" t="s">
        <v>931</v>
      </c>
      <c r="F15" s="896" t="s">
        <v>1799</v>
      </c>
      <c r="G15" s="896" t="s">
        <v>1801</v>
      </c>
      <c r="H15" s="1155">
        <v>2.4</v>
      </c>
      <c r="I15" s="896" t="s">
        <v>1521</v>
      </c>
      <c r="J15" s="1162">
        <f>+H15*VLOOKUP(G15,'Factores Emisión EDGE'!$K$20:$L$120,2,FALSE)/1000</f>
        <v>4.3440000000000003</v>
      </c>
      <c r="K15" s="434"/>
    </row>
    <row r="16" spans="1:11" ht="14.25" customHeight="1">
      <c r="A16" s="445"/>
      <c r="B16" s="896" t="s">
        <v>928</v>
      </c>
      <c r="C16" s="896" t="s">
        <v>1797</v>
      </c>
      <c r="D16" s="896" t="s">
        <v>1798</v>
      </c>
      <c r="E16" s="896" t="s">
        <v>931</v>
      </c>
      <c r="F16" s="896" t="s">
        <v>1799</v>
      </c>
      <c r="G16" s="896" t="s">
        <v>1800</v>
      </c>
      <c r="H16" s="1155">
        <v>1</v>
      </c>
      <c r="I16" s="896" t="s">
        <v>1521</v>
      </c>
      <c r="J16" s="1162">
        <f>+H16*VLOOKUP(G16,'Factores Emisión EDGE'!$K$20:$L$120,2,FALSE)/1000</f>
        <v>2.0880000000000001</v>
      </c>
      <c r="K16" s="434"/>
    </row>
    <row r="17" spans="2:11" ht="14.25" customHeight="1">
      <c r="B17" s="896" t="s">
        <v>941</v>
      </c>
      <c r="C17" s="896" t="s">
        <v>1802</v>
      </c>
      <c r="D17" s="896" t="s">
        <v>1798</v>
      </c>
      <c r="E17" s="896" t="s">
        <v>1107</v>
      </c>
      <c r="F17" s="896" t="s">
        <v>1799</v>
      </c>
      <c r="G17" s="896" t="s">
        <v>1800</v>
      </c>
      <c r="H17" s="1155">
        <v>1.3</v>
      </c>
      <c r="I17" s="896" t="s">
        <v>1521</v>
      </c>
      <c r="J17" s="1162">
        <f>+H17*VLOOKUP(G17,'Factores Emisión EDGE'!$K$20:$L$120,2,FALSE)/1000</f>
        <v>2.7143999999999999</v>
      </c>
      <c r="K17" s="434"/>
    </row>
    <row r="18" spans="2:11" ht="14.25" customHeight="1">
      <c r="B18" s="896" t="s">
        <v>941</v>
      </c>
      <c r="C18" s="896" t="s">
        <v>1802</v>
      </c>
      <c r="D18" s="896" t="s">
        <v>1798</v>
      </c>
      <c r="E18" s="896" t="s">
        <v>1107</v>
      </c>
      <c r="F18" s="896" t="s">
        <v>1799</v>
      </c>
      <c r="G18" s="896" t="s">
        <v>1801</v>
      </c>
      <c r="H18" s="1155">
        <v>0.6</v>
      </c>
      <c r="I18" s="896" t="s">
        <v>1521</v>
      </c>
      <c r="J18" s="1162">
        <f>+H18*VLOOKUP(G18,'Factores Emisión EDGE'!$K$20:$L$120,2,FALSE)/1000</f>
        <v>1.0860000000000001</v>
      </c>
      <c r="K18" s="434"/>
    </row>
    <row r="19" spans="2:11" ht="14.25" customHeight="1">
      <c r="B19" s="896" t="s">
        <v>937</v>
      </c>
      <c r="C19" s="896" t="s">
        <v>1803</v>
      </c>
      <c r="D19" s="896" t="s">
        <v>1798</v>
      </c>
      <c r="E19" s="896" t="s">
        <v>986</v>
      </c>
      <c r="F19" s="896" t="s">
        <v>1799</v>
      </c>
      <c r="G19" s="896" t="s">
        <v>1800</v>
      </c>
      <c r="H19" s="1155">
        <v>0.5</v>
      </c>
      <c r="I19" s="896" t="s">
        <v>1521</v>
      </c>
      <c r="J19" s="1162">
        <f>+H19*VLOOKUP(G19,'Factores Emisión EDGE'!$K$20:$L$120,2,FALSE)/1000</f>
        <v>1.044</v>
      </c>
      <c r="K19" s="434"/>
    </row>
    <row r="20" spans="2:11" ht="14.25" customHeight="1">
      <c r="B20" s="896" t="s">
        <v>941</v>
      </c>
      <c r="C20" s="896" t="s">
        <v>1804</v>
      </c>
      <c r="D20" s="896" t="s">
        <v>1798</v>
      </c>
      <c r="E20" s="896" t="s">
        <v>1086</v>
      </c>
      <c r="F20" s="896" t="s">
        <v>1799</v>
      </c>
      <c r="G20" s="896" t="s">
        <v>1800</v>
      </c>
      <c r="H20" s="1155">
        <v>1.1000000000000001</v>
      </c>
      <c r="I20" s="896" t="s">
        <v>1521</v>
      </c>
      <c r="J20" s="1162">
        <f>+H20*VLOOKUP(G20,'Factores Emisión EDGE'!$K$20:$L$120,2,FALSE)/1000</f>
        <v>2.2968000000000002</v>
      </c>
      <c r="K20" s="434"/>
    </row>
    <row r="21" spans="2:11" ht="14.25" customHeight="1">
      <c r="B21" s="896" t="s">
        <v>928</v>
      </c>
      <c r="C21" s="896" t="s">
        <v>1805</v>
      </c>
      <c r="D21" s="896" t="s">
        <v>1798</v>
      </c>
      <c r="E21" s="896" t="s">
        <v>931</v>
      </c>
      <c r="F21" s="896" t="s">
        <v>1799</v>
      </c>
      <c r="G21" s="896" t="s">
        <v>1800</v>
      </c>
      <c r="H21" s="1155">
        <v>1.5</v>
      </c>
      <c r="I21" s="896" t="s">
        <v>1521</v>
      </c>
      <c r="J21" s="1162">
        <f>+H21*VLOOKUP(G21,'Factores Emisión EDGE'!$K$20:$L$120,2,FALSE)/1000</f>
        <v>3.1320000000000001</v>
      </c>
      <c r="K21" s="434"/>
    </row>
    <row r="22" spans="2:11" ht="14.25" customHeight="1">
      <c r="B22" s="896" t="s">
        <v>928</v>
      </c>
      <c r="C22" s="896" t="s">
        <v>1805</v>
      </c>
      <c r="D22" s="896" t="s">
        <v>1798</v>
      </c>
      <c r="E22" s="896" t="s">
        <v>931</v>
      </c>
      <c r="F22" s="896" t="s">
        <v>1799</v>
      </c>
      <c r="G22" s="896" t="s">
        <v>1801</v>
      </c>
      <c r="H22" s="1155">
        <v>4.5999999999999996</v>
      </c>
      <c r="I22" s="896" t="s">
        <v>1521</v>
      </c>
      <c r="J22" s="1162">
        <f>+H22*VLOOKUP(G22,'Factores Emisión EDGE'!$K$20:$L$120,2,FALSE)/1000</f>
        <v>8.3260000000000005</v>
      </c>
      <c r="K22" s="434"/>
    </row>
    <row r="23" spans="2:11" ht="14.25" customHeight="1">
      <c r="B23" s="896" t="s">
        <v>941</v>
      </c>
      <c r="C23" s="896" t="s">
        <v>1806</v>
      </c>
      <c r="D23" s="896" t="s">
        <v>1798</v>
      </c>
      <c r="E23" s="896" t="s">
        <v>1056</v>
      </c>
      <c r="F23" s="896" t="s">
        <v>1799</v>
      </c>
      <c r="G23" s="896" t="s">
        <v>1800</v>
      </c>
      <c r="H23" s="1155">
        <v>0.9</v>
      </c>
      <c r="I23" s="896" t="s">
        <v>1521</v>
      </c>
      <c r="J23" s="1162">
        <f>+H23*VLOOKUP(G23,'Factores Emisión EDGE'!$K$20:$L$120,2,FALSE)/1000</f>
        <v>1.8792</v>
      </c>
      <c r="K23" s="434"/>
    </row>
    <row r="24" spans="2:11" ht="14.25" customHeight="1">
      <c r="B24" s="896" t="s">
        <v>928</v>
      </c>
      <c r="C24" s="896" t="s">
        <v>1805</v>
      </c>
      <c r="D24" s="896" t="s">
        <v>1798</v>
      </c>
      <c r="E24" s="896" t="s">
        <v>931</v>
      </c>
      <c r="F24" s="896" t="s">
        <v>1799</v>
      </c>
      <c r="G24" s="896" t="s">
        <v>1800</v>
      </c>
      <c r="H24" s="1155">
        <v>3.5</v>
      </c>
      <c r="I24" s="896" t="s">
        <v>1521</v>
      </c>
      <c r="J24" s="1162">
        <f>+H24*VLOOKUP(G24,'Factores Emisión EDGE'!$K$20:$L$120,2,FALSE)/1000</f>
        <v>7.3079999999999998</v>
      </c>
      <c r="K24" s="434"/>
    </row>
    <row r="25" spans="2:11" ht="14.25" customHeight="1">
      <c r="B25" s="896" t="s">
        <v>928</v>
      </c>
      <c r="C25" s="896" t="s">
        <v>1805</v>
      </c>
      <c r="D25" s="896" t="s">
        <v>1798</v>
      </c>
      <c r="E25" s="896" t="s">
        <v>931</v>
      </c>
      <c r="F25" s="896" t="s">
        <v>1799</v>
      </c>
      <c r="G25" s="896" t="s">
        <v>1801</v>
      </c>
      <c r="H25" s="1155">
        <v>2.1</v>
      </c>
      <c r="I25" s="896" t="s">
        <v>1521</v>
      </c>
      <c r="J25" s="1162">
        <f>+H25*VLOOKUP(G25,'Factores Emisión EDGE'!$K$20:$L$120,2,FALSE)/1000</f>
        <v>3.8010000000000002</v>
      </c>
      <c r="K25" s="434"/>
    </row>
    <row r="26" spans="2:11" ht="14.25" customHeight="1">
      <c r="B26" s="896" t="s">
        <v>928</v>
      </c>
      <c r="C26" s="896" t="s">
        <v>1805</v>
      </c>
      <c r="D26" s="896" t="s">
        <v>1798</v>
      </c>
      <c r="E26" s="896" t="s">
        <v>931</v>
      </c>
      <c r="F26" s="896" t="s">
        <v>1799</v>
      </c>
      <c r="G26" s="896" t="s">
        <v>1800</v>
      </c>
      <c r="H26" s="1155">
        <v>4.0999999999999996</v>
      </c>
      <c r="I26" s="896" t="s">
        <v>1521</v>
      </c>
      <c r="J26" s="1162">
        <f>+H26*VLOOKUP(G26,'Factores Emisión EDGE'!$K$20:$L$120,2,FALSE)/1000</f>
        <v>8.5607999999999986</v>
      </c>
      <c r="K26" s="434"/>
    </row>
    <row r="27" spans="2:11" ht="14.25" customHeight="1">
      <c r="B27" s="896" t="s">
        <v>928</v>
      </c>
      <c r="C27" s="896" t="s">
        <v>1805</v>
      </c>
      <c r="D27" s="896" t="s">
        <v>1798</v>
      </c>
      <c r="E27" s="896" t="s">
        <v>931</v>
      </c>
      <c r="F27" s="896" t="s">
        <v>1799</v>
      </c>
      <c r="G27" s="896" t="s">
        <v>1800</v>
      </c>
      <c r="H27" s="1155">
        <v>3.4</v>
      </c>
      <c r="I27" s="896" t="s">
        <v>1521</v>
      </c>
      <c r="J27" s="1162">
        <f>+H27*VLOOKUP(G27,'Factores Emisión EDGE'!$K$20:$L$120,2,FALSE)/1000</f>
        <v>7.0991999999999997</v>
      </c>
      <c r="K27" s="434"/>
    </row>
    <row r="28" spans="2:11" ht="14.25" customHeight="1">
      <c r="B28" s="896" t="s">
        <v>1807</v>
      </c>
      <c r="C28" s="896" t="s">
        <v>1808</v>
      </c>
      <c r="D28" s="896" t="s">
        <v>1798</v>
      </c>
      <c r="E28" s="896" t="s">
        <v>931</v>
      </c>
      <c r="F28" s="896" t="s">
        <v>1799</v>
      </c>
      <c r="G28" s="896" t="s">
        <v>1800</v>
      </c>
      <c r="H28" s="1155">
        <v>1.7</v>
      </c>
      <c r="I28" s="896" t="s">
        <v>1521</v>
      </c>
      <c r="J28" s="1162">
        <f>+H28*VLOOKUP(G28,'Factores Emisión EDGE'!$K$20:$L$120,2,FALSE)/1000</f>
        <v>3.5495999999999999</v>
      </c>
      <c r="K28" s="434"/>
    </row>
    <row r="29" spans="2:11" ht="14.25" customHeight="1">
      <c r="B29" s="896" t="s">
        <v>928</v>
      </c>
      <c r="C29" s="896" t="s">
        <v>1797</v>
      </c>
      <c r="D29" s="896" t="s">
        <v>1798</v>
      </c>
      <c r="E29" s="896" t="s">
        <v>931</v>
      </c>
      <c r="F29" s="896" t="s">
        <v>1799</v>
      </c>
      <c r="G29" s="896" t="s">
        <v>1800</v>
      </c>
      <c r="H29" s="1155">
        <v>81</v>
      </c>
      <c r="I29" s="896" t="s">
        <v>1521</v>
      </c>
      <c r="J29" s="1162">
        <f>+H29*VLOOKUP(G29,'Factores Emisión EDGE'!$K$20:$L$120,2,FALSE)/1000</f>
        <v>169.12799999999999</v>
      </c>
      <c r="K29" s="1234" t="s">
        <v>1809</v>
      </c>
    </row>
    <row r="30" spans="2:11" ht="14.25" customHeight="1">
      <c r="B30" s="896" t="s">
        <v>928</v>
      </c>
      <c r="C30" s="896" t="s">
        <v>1805</v>
      </c>
      <c r="D30" s="896" t="s">
        <v>1798</v>
      </c>
      <c r="E30" s="896" t="s">
        <v>931</v>
      </c>
      <c r="F30" s="896" t="s">
        <v>1799</v>
      </c>
      <c r="G30" s="896" t="s">
        <v>1801</v>
      </c>
      <c r="H30" s="1155">
        <v>3.3</v>
      </c>
      <c r="I30" s="896" t="s">
        <v>1521</v>
      </c>
      <c r="J30" s="1162">
        <f>+H30*VLOOKUP(G30,'Factores Emisión EDGE'!$K$20:$L$120,2,FALSE)/1000</f>
        <v>5.9729999999999999</v>
      </c>
      <c r="K30" s="434"/>
    </row>
    <row r="31" spans="2:11" ht="14.25" customHeight="1">
      <c r="B31" s="896" t="s">
        <v>1810</v>
      </c>
      <c r="C31" s="896" t="s">
        <v>1092</v>
      </c>
      <c r="D31" s="896" t="s">
        <v>1811</v>
      </c>
      <c r="E31" s="896" t="s">
        <v>1092</v>
      </c>
      <c r="F31" s="896" t="s">
        <v>961</v>
      </c>
      <c r="G31" s="896" t="s">
        <v>1800</v>
      </c>
      <c r="H31" s="1155">
        <v>0.3</v>
      </c>
      <c r="I31" s="896" t="s">
        <v>1521</v>
      </c>
      <c r="J31" s="1162">
        <f>+H31*VLOOKUP(G31,'Factores Emisión EDGE'!$K$20:$L$120,2,FALSE)/1000</f>
        <v>0.62639999999999996</v>
      </c>
      <c r="K31" s="434"/>
    </row>
    <row r="32" spans="2:11" ht="14.25" customHeight="1">
      <c r="B32" s="896" t="s">
        <v>1810</v>
      </c>
      <c r="C32" s="896" t="s">
        <v>971</v>
      </c>
      <c r="D32" s="896" t="s">
        <v>1812</v>
      </c>
      <c r="E32" s="896" t="s">
        <v>971</v>
      </c>
      <c r="F32" s="896" t="s">
        <v>952</v>
      </c>
      <c r="G32" s="896" t="s">
        <v>1800</v>
      </c>
      <c r="H32" s="1155">
        <v>1.2</v>
      </c>
      <c r="I32" s="896" t="s">
        <v>1521</v>
      </c>
      <c r="J32" s="1162">
        <f>+H32*VLOOKUP(G32,'Factores Emisión EDGE'!$K$20:$L$120,2,FALSE)/1000</f>
        <v>2.5055999999999998</v>
      </c>
      <c r="K32" s="434"/>
    </row>
    <row r="33" spans="2:11" ht="14.25" customHeight="1">
      <c r="B33" s="896" t="s">
        <v>1810</v>
      </c>
      <c r="C33" s="896" t="s">
        <v>989</v>
      </c>
      <c r="D33" s="896" t="s">
        <v>1813</v>
      </c>
      <c r="E33" s="896" t="s">
        <v>989</v>
      </c>
      <c r="F33" s="896" t="s">
        <v>956</v>
      </c>
      <c r="G33" s="896" t="s">
        <v>1800</v>
      </c>
      <c r="H33" s="1155">
        <v>1</v>
      </c>
      <c r="I33" s="896" t="s">
        <v>1521</v>
      </c>
      <c r="J33" s="1162">
        <f>+H33*VLOOKUP(G33,'Factores Emisión EDGE'!$K$20:$L$120,2,FALSE)/1000</f>
        <v>2.0880000000000001</v>
      </c>
      <c r="K33" s="434"/>
    </row>
    <row r="34" spans="2:11" ht="14.25" customHeight="1">
      <c r="B34" s="896" t="s">
        <v>1810</v>
      </c>
      <c r="C34" s="896" t="s">
        <v>1006</v>
      </c>
      <c r="D34" s="896" t="s">
        <v>1813</v>
      </c>
      <c r="E34" s="896" t="s">
        <v>1006</v>
      </c>
      <c r="F34" s="896" t="s">
        <v>952</v>
      </c>
      <c r="G34" s="896" t="s">
        <v>1800</v>
      </c>
      <c r="H34" s="1155">
        <v>0.5</v>
      </c>
      <c r="I34" s="896" t="s">
        <v>1521</v>
      </c>
      <c r="J34" s="1162">
        <f>+H34*VLOOKUP(G34,'Factores Emisión EDGE'!$K$20:$L$120,2,FALSE)/1000</f>
        <v>1.044</v>
      </c>
      <c r="K34" s="434"/>
    </row>
    <row r="35" spans="2:11" ht="14.25" customHeight="1">
      <c r="B35" s="896" t="s">
        <v>1810</v>
      </c>
      <c r="C35" s="896" t="s">
        <v>1006</v>
      </c>
      <c r="D35" s="896" t="s">
        <v>1813</v>
      </c>
      <c r="E35" s="896" t="s">
        <v>1006</v>
      </c>
      <c r="F35" s="896" t="s">
        <v>952</v>
      </c>
      <c r="G35" s="896" t="s">
        <v>1800</v>
      </c>
      <c r="H35" s="1155">
        <v>0.2</v>
      </c>
      <c r="I35" s="896" t="s">
        <v>1521</v>
      </c>
      <c r="J35" s="1162">
        <f>+H35*VLOOKUP(G35,'Factores Emisión EDGE'!$K$20:$L$120,2,FALSE)/1000</f>
        <v>0.41760000000000003</v>
      </c>
      <c r="K35" s="434"/>
    </row>
    <row r="36" spans="2:11" ht="14.25" customHeight="1">
      <c r="B36" s="896" t="s">
        <v>1810</v>
      </c>
      <c r="C36" s="896" t="s">
        <v>955</v>
      </c>
      <c r="D36" s="896" t="s">
        <v>1813</v>
      </c>
      <c r="E36" s="896" t="s">
        <v>955</v>
      </c>
      <c r="F36" s="896" t="s">
        <v>956</v>
      </c>
      <c r="G36" s="896" t="s">
        <v>1800</v>
      </c>
      <c r="H36" s="1155">
        <v>0.3</v>
      </c>
      <c r="I36" s="896" t="s">
        <v>1521</v>
      </c>
      <c r="J36" s="1162">
        <f>+H36*VLOOKUP(G36,'Factores Emisión EDGE'!$K$20:$L$120,2,FALSE)/1000</f>
        <v>0.62639999999999996</v>
      </c>
      <c r="K36" s="434"/>
    </row>
    <row r="37" spans="2:11" ht="14.25" customHeight="1">
      <c r="B37" s="896"/>
      <c r="C37" s="896"/>
      <c r="D37" s="896"/>
      <c r="E37" s="896"/>
      <c r="F37" s="1133"/>
      <c r="G37" s="896"/>
      <c r="H37" s="1155"/>
      <c r="I37" s="1236" t="s">
        <v>87</v>
      </c>
      <c r="J37" s="1164">
        <f>SUM(J14:J36)</f>
        <v>263.23239999999998</v>
      </c>
      <c r="K37" s="434"/>
    </row>
    <row r="38" spans="2:11" ht="14.25" customHeight="1">
      <c r="B38" s="450"/>
      <c r="C38" s="450"/>
      <c r="D38" s="450"/>
      <c r="E38" s="450"/>
      <c r="F38" s="619"/>
      <c r="G38" s="450"/>
      <c r="H38" s="450"/>
      <c r="I38" s="450"/>
      <c r="J38" s="450"/>
      <c r="K38" s="431"/>
    </row>
    <row r="39" spans="2:11" ht="14.25" customHeight="1">
      <c r="B39" s="431"/>
      <c r="C39" s="732" t="s">
        <v>1814</v>
      </c>
      <c r="D39" s="732">
        <v>2021</v>
      </c>
      <c r="E39" s="732">
        <v>2022</v>
      </c>
      <c r="F39" s="1237" t="s">
        <v>927</v>
      </c>
      <c r="G39" s="431"/>
      <c r="H39" s="431"/>
      <c r="I39" s="431"/>
      <c r="J39" s="431"/>
      <c r="K39" s="431"/>
    </row>
    <row r="40" spans="2:11" ht="14.25" customHeight="1">
      <c r="B40" s="431"/>
      <c r="C40" s="1238" t="s">
        <v>1815</v>
      </c>
      <c r="D40" s="1239">
        <v>2</v>
      </c>
      <c r="E40" s="1240">
        <f>H14+H16+H17+H19+H20+H21+H23+H24+H26+H27+H28+H29+H31+H32+H33+H34+H35+H36</f>
        <v>114.8</v>
      </c>
      <c r="F40" s="1241">
        <f t="shared" ref="F40:F41" si="0">(E40-D40)/D40</f>
        <v>56.4</v>
      </c>
      <c r="G40" s="434"/>
      <c r="H40" s="431"/>
      <c r="I40" s="431"/>
      <c r="J40" s="431"/>
      <c r="K40" s="431"/>
    </row>
    <row r="41" spans="2:11" ht="14.25" customHeight="1">
      <c r="B41" s="431"/>
      <c r="C41" s="1242" t="s">
        <v>1816</v>
      </c>
      <c r="D41" s="1239">
        <v>13</v>
      </c>
      <c r="E41" s="1243">
        <f>H15+H18+H22+H25+H30</f>
        <v>13</v>
      </c>
      <c r="F41" s="1241">
        <f t="shared" si="0"/>
        <v>0</v>
      </c>
      <c r="G41" s="434"/>
      <c r="H41" s="431"/>
      <c r="I41" s="431"/>
      <c r="J41" s="431"/>
      <c r="K41" s="431"/>
    </row>
    <row r="42" spans="2:11" ht="14.25" customHeight="1">
      <c r="B42" s="431"/>
      <c r="C42" s="431"/>
      <c r="D42" s="450"/>
      <c r="E42" s="450"/>
      <c r="F42" s="619"/>
      <c r="G42" s="431"/>
      <c r="H42" s="431"/>
      <c r="I42" s="431"/>
      <c r="J42" s="431"/>
      <c r="K42" s="431"/>
    </row>
    <row r="43" spans="2:11" ht="14.25" customHeight="1">
      <c r="B43" s="431"/>
      <c r="C43" s="431"/>
      <c r="D43" s="431"/>
      <c r="E43" s="431"/>
      <c r="F43" s="591"/>
      <c r="G43" s="431"/>
      <c r="H43" s="1235" t="s">
        <v>1817</v>
      </c>
      <c r="I43" s="1235"/>
      <c r="J43" s="1235"/>
      <c r="K43" s="1235"/>
    </row>
    <row r="44" spans="2:11" ht="14.25" customHeight="1">
      <c r="B44" s="431"/>
      <c r="C44" s="1575" t="s">
        <v>1590</v>
      </c>
      <c r="D44" s="1392"/>
      <c r="E44" s="1392"/>
      <c r="F44" s="1393"/>
      <c r="G44" s="431"/>
      <c r="H44" s="1235" t="s">
        <v>1818</v>
      </c>
      <c r="I44" s="1235"/>
      <c r="J44" s="1235"/>
      <c r="K44" s="1235"/>
    </row>
    <row r="45" spans="2:11" ht="14.25" customHeight="1">
      <c r="B45" s="445"/>
      <c r="C45" s="1244" t="s">
        <v>1801</v>
      </c>
      <c r="D45" s="1245">
        <v>1810</v>
      </c>
      <c r="E45" s="1245" t="s">
        <v>139</v>
      </c>
      <c r="F45" s="1246" t="s">
        <v>1819</v>
      </c>
      <c r="H45" s="1235" t="s">
        <v>1820</v>
      </c>
      <c r="I45" s="1235"/>
      <c r="J45" s="1235"/>
      <c r="K45" s="1235"/>
    </row>
    <row r="46" spans="2:11" ht="14.25" customHeight="1">
      <c r="B46" s="445"/>
      <c r="C46" s="64" t="s">
        <v>1800</v>
      </c>
      <c r="D46" s="29">
        <v>2088</v>
      </c>
      <c r="E46" s="29" t="s">
        <v>139</v>
      </c>
      <c r="F46" s="1247" t="s">
        <v>1819</v>
      </c>
      <c r="H46" s="431"/>
      <c r="I46" s="431"/>
      <c r="J46" s="431"/>
      <c r="K46" s="431"/>
    </row>
  </sheetData>
  <mergeCells count="3">
    <mergeCell ref="B5:I6"/>
    <mergeCell ref="B12:I12"/>
    <mergeCell ref="C44:F44"/>
  </mergeCells>
  <dataValidations count="1">
    <dataValidation type="list" allowBlank="1" showErrorMessage="1" sqref="I14:I36" xr:uid="{00000000-0002-0000-1000-000000000000}">
      <formula1>"kg,lts"</formula1>
    </dataValidation>
  </dataValidations>
  <hyperlinks>
    <hyperlink ref="B3" location="null!A1" display="CONTENIDOS" xr:uid="{00000000-0004-0000-1000-000000000000}"/>
  </hyperlinks>
  <pageMargins left="0.7" right="0.7" top="0.75" bottom="0.75"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FF"/>
  </sheetPr>
  <dimension ref="A1:N44"/>
  <sheetViews>
    <sheetView showGridLines="0" workbookViewId="0">
      <selection sqref="A1:N1"/>
    </sheetView>
  </sheetViews>
  <sheetFormatPr baseColWidth="10" defaultColWidth="12.6640625" defaultRowHeight="15" customHeight="1"/>
  <cols>
    <col min="1" max="1" width="6.33203125" customWidth="1"/>
    <col min="2" max="2" width="35.6640625" customWidth="1"/>
    <col min="3" max="3" width="21.88671875" customWidth="1"/>
    <col min="4" max="5" width="21.109375" customWidth="1"/>
    <col min="6" max="6" width="19.44140625" customWidth="1"/>
    <col min="7" max="7" width="12.33203125" customWidth="1"/>
    <col min="8" max="8" width="8.6640625" customWidth="1"/>
    <col min="9" max="9" width="29.77734375" customWidth="1"/>
    <col min="10" max="13" width="18.109375" customWidth="1"/>
    <col min="14" max="25" width="8.6640625" customWidth="1"/>
  </cols>
  <sheetData>
    <row r="1" spans="1:14" ht="14.25" customHeight="1">
      <c r="A1" s="1497" t="s">
        <v>1821</v>
      </c>
      <c r="B1" s="1463"/>
      <c r="C1" s="1463"/>
      <c r="D1" s="1463"/>
      <c r="E1" s="1463"/>
      <c r="F1" s="1463"/>
      <c r="G1" s="1463"/>
      <c r="H1" s="1463"/>
      <c r="I1" s="1463"/>
      <c r="J1" s="1463"/>
      <c r="K1" s="1463"/>
      <c r="L1" s="1463"/>
      <c r="M1" s="1463"/>
      <c r="N1" s="1464"/>
    </row>
    <row r="2" spans="1:14" ht="14.25" customHeight="1">
      <c r="A2" s="591"/>
      <c r="B2" s="431"/>
      <c r="C2" s="431"/>
      <c r="D2" s="431"/>
      <c r="E2" s="431"/>
      <c r="F2" s="591"/>
      <c r="G2" s="431"/>
      <c r="H2" s="431"/>
      <c r="I2" s="431"/>
      <c r="J2" s="431"/>
      <c r="K2" s="431"/>
      <c r="L2" s="431"/>
      <c r="M2" s="431"/>
      <c r="N2" s="431"/>
    </row>
    <row r="3" spans="1:14" ht="14.25" customHeight="1">
      <c r="A3" s="1248"/>
      <c r="B3" s="1249" t="s">
        <v>1789</v>
      </c>
      <c r="C3" s="431"/>
      <c r="D3" s="431"/>
      <c r="E3" s="431"/>
      <c r="F3" s="591"/>
      <c r="G3" s="431"/>
      <c r="H3" s="431"/>
      <c r="I3" s="431"/>
      <c r="J3" s="431"/>
      <c r="K3" s="431"/>
      <c r="L3" s="431"/>
      <c r="M3" s="431"/>
      <c r="N3" s="431"/>
    </row>
    <row r="4" spans="1:14" ht="14.25" customHeight="1">
      <c r="A4" s="591"/>
      <c r="B4" s="431"/>
      <c r="C4" s="431"/>
      <c r="D4" s="431"/>
      <c r="E4" s="431"/>
      <c r="F4" s="591"/>
      <c r="G4" s="431"/>
      <c r="H4" s="431"/>
      <c r="I4" s="431"/>
      <c r="J4" s="431"/>
      <c r="K4" s="431"/>
      <c r="L4" s="431"/>
      <c r="M4" s="431"/>
      <c r="N4" s="431"/>
    </row>
    <row r="5" spans="1:14" ht="14.25" customHeight="1">
      <c r="A5" s="591"/>
      <c r="B5" s="1450" t="s">
        <v>1822</v>
      </c>
      <c r="C5" s="1452"/>
      <c r="D5" s="865"/>
      <c r="E5" s="865"/>
      <c r="F5" s="591"/>
      <c r="G5" s="431" t="s">
        <v>1823</v>
      </c>
      <c r="H5" s="431"/>
      <c r="I5" s="431"/>
      <c r="J5" s="431"/>
      <c r="K5" s="431"/>
      <c r="L5" s="431"/>
      <c r="M5" s="431"/>
      <c r="N5" s="431"/>
    </row>
    <row r="6" spans="1:14" ht="14.25" customHeight="1">
      <c r="A6" s="591"/>
      <c r="B6" s="1453"/>
      <c r="C6" s="1455"/>
      <c r="D6" s="865"/>
      <c r="E6" s="865"/>
      <c r="F6" s="591"/>
      <c r="G6" s="1235">
        <v>759</v>
      </c>
      <c r="H6" s="431"/>
      <c r="I6" s="431"/>
      <c r="J6" s="431"/>
      <c r="K6" s="431"/>
      <c r="L6" s="431"/>
      <c r="M6" s="431"/>
      <c r="N6" s="431"/>
    </row>
    <row r="7" spans="1:14" ht="14.25" customHeight="1">
      <c r="A7" s="591"/>
      <c r="B7" s="431"/>
      <c r="C7" s="431"/>
      <c r="D7" s="431"/>
      <c r="E7" s="431"/>
      <c r="F7" s="591"/>
      <c r="G7" s="431"/>
      <c r="H7" s="431"/>
      <c r="I7" s="431"/>
      <c r="J7" s="431"/>
      <c r="K7" s="431"/>
      <c r="L7" s="431"/>
      <c r="M7" s="431"/>
      <c r="N7" s="431"/>
    </row>
    <row r="8" spans="1:14" ht="14.25" customHeight="1">
      <c r="A8" s="657"/>
      <c r="B8" s="438" t="s">
        <v>426</v>
      </c>
      <c r="C8" s="1250" t="s">
        <v>1824</v>
      </c>
      <c r="D8" s="1251"/>
      <c r="E8" s="1251"/>
      <c r="F8" s="1252"/>
      <c r="G8" s="1251"/>
      <c r="H8" s="1251"/>
      <c r="I8" s="1251"/>
      <c r="J8" s="1251"/>
      <c r="K8" s="1251"/>
      <c r="L8" s="1251"/>
      <c r="M8" s="431"/>
      <c r="N8" s="431"/>
    </row>
    <row r="9" spans="1:14" ht="14.25" customHeight="1">
      <c r="A9" s="657"/>
      <c r="B9" s="438" t="s">
        <v>583</v>
      </c>
      <c r="C9" s="1250" t="s">
        <v>1825</v>
      </c>
      <c r="D9" s="1251"/>
      <c r="E9" s="1251"/>
      <c r="F9" s="1252"/>
      <c r="G9" s="1251"/>
      <c r="H9" s="1251"/>
      <c r="I9" s="1251"/>
      <c r="J9" s="1251"/>
      <c r="K9" s="1251"/>
      <c r="L9" s="1251"/>
      <c r="M9" s="431"/>
      <c r="N9" s="431"/>
    </row>
    <row r="10" spans="1:14" ht="14.25" customHeight="1">
      <c r="A10" s="591"/>
      <c r="B10" s="444"/>
      <c r="C10" s="444"/>
      <c r="D10" s="1253"/>
      <c r="E10" s="1253"/>
      <c r="F10" s="622"/>
      <c r="G10" s="444"/>
      <c r="H10" s="431"/>
      <c r="I10" s="431"/>
      <c r="J10" s="431"/>
      <c r="K10" s="431"/>
      <c r="L10" s="431"/>
      <c r="M10" s="431"/>
      <c r="N10" s="431"/>
    </row>
    <row r="11" spans="1:14" ht="14.25" customHeight="1">
      <c r="A11" s="1254"/>
      <c r="B11" s="1578">
        <v>2022</v>
      </c>
      <c r="C11" s="1392"/>
      <c r="D11" s="1392"/>
      <c r="E11" s="1392"/>
      <c r="F11" s="1392"/>
      <c r="G11" s="1393"/>
      <c r="H11" s="434"/>
      <c r="I11" s="1579" t="s">
        <v>1826</v>
      </c>
      <c r="J11" s="1580"/>
      <c r="K11" s="1580"/>
      <c r="L11" s="1580"/>
      <c r="M11" s="1581"/>
      <c r="N11" s="431"/>
    </row>
    <row r="12" spans="1:14" ht="14.25" customHeight="1">
      <c r="A12" s="1254"/>
      <c r="B12" s="1255" t="s">
        <v>1827</v>
      </c>
      <c r="C12" s="1255" t="s">
        <v>1828</v>
      </c>
      <c r="D12" s="1255" t="s">
        <v>1829</v>
      </c>
      <c r="E12" s="1255" t="s">
        <v>1830</v>
      </c>
      <c r="F12" s="1255" t="s">
        <v>717</v>
      </c>
      <c r="G12" s="453" t="s">
        <v>437</v>
      </c>
      <c r="H12" s="434"/>
      <c r="I12" s="1255" t="s">
        <v>1827</v>
      </c>
      <c r="J12" s="1255" t="s">
        <v>1831</v>
      </c>
      <c r="K12" s="1255" t="s">
        <v>1830</v>
      </c>
      <c r="L12" s="1255" t="s">
        <v>717</v>
      </c>
      <c r="M12" s="453" t="s">
        <v>437</v>
      </c>
      <c r="N12" s="431"/>
    </row>
    <row r="13" spans="1:14" ht="14.25" customHeight="1">
      <c r="A13" s="1254"/>
      <c r="B13" s="789" t="s">
        <v>1832</v>
      </c>
      <c r="C13" s="1256" t="s">
        <v>1833</v>
      </c>
      <c r="D13" s="1257">
        <v>90483</v>
      </c>
      <c r="E13" s="1258">
        <v>0</v>
      </c>
      <c r="F13" s="1259">
        <v>0</v>
      </c>
      <c r="G13" s="1260">
        <f>D13*'Factores Emisión EDGE'!$L$251/1000</f>
        <v>49.626306179999993</v>
      </c>
      <c r="H13" s="434"/>
      <c r="I13" s="457" t="s">
        <v>1834</v>
      </c>
      <c r="J13" s="437" t="s">
        <v>1835</v>
      </c>
      <c r="K13" s="1261">
        <v>17874063</v>
      </c>
      <c r="L13" s="1262">
        <f t="shared" ref="L13:L26" si="0">+K13/$G$6</f>
        <v>23549.490118577076</v>
      </c>
      <c r="M13" s="1263">
        <f>+L13*'Factores Emisión EDGE'!$L$252/1000</f>
        <v>22.752773188681424</v>
      </c>
      <c r="N13" s="431"/>
    </row>
    <row r="14" spans="1:14" ht="14.25" customHeight="1">
      <c r="A14" s="1254"/>
      <c r="B14" s="469" t="s">
        <v>1836</v>
      </c>
      <c r="C14" s="1256" t="s">
        <v>1837</v>
      </c>
      <c r="D14" s="1257">
        <v>0</v>
      </c>
      <c r="E14" s="1258">
        <v>423604</v>
      </c>
      <c r="F14" s="1259">
        <v>492</v>
      </c>
      <c r="G14" s="1260">
        <f>F14*'Factores Emisión EDGE'!$L$252/1000</f>
        <v>0.47535485280000001</v>
      </c>
      <c r="H14" s="434"/>
      <c r="I14" s="457" t="s">
        <v>1838</v>
      </c>
      <c r="J14" s="437" t="s">
        <v>1835</v>
      </c>
      <c r="K14" s="1261">
        <v>17229258</v>
      </c>
      <c r="L14" s="1262">
        <f t="shared" si="0"/>
        <v>22699.94466403162</v>
      </c>
      <c r="M14" s="1263">
        <f>+L14*'Factores Emisión EDGE'!$L$197/1000</f>
        <v>26.248463573758105</v>
      </c>
      <c r="N14" s="431"/>
    </row>
    <row r="15" spans="1:14" ht="14.25" customHeight="1">
      <c r="A15" s="1254"/>
      <c r="B15" s="1090" t="s">
        <v>1836</v>
      </c>
      <c r="C15" s="736" t="s">
        <v>1839</v>
      </c>
      <c r="D15" s="738">
        <v>0</v>
      </c>
      <c r="E15" s="743">
        <v>450097</v>
      </c>
      <c r="F15" s="1264">
        <v>498</v>
      </c>
      <c r="G15" s="1260">
        <f>F15*'Factores Emisión EDGE'!$L$252/1000</f>
        <v>0.48115186320000003</v>
      </c>
      <c r="H15" s="434"/>
      <c r="I15" s="457" t="s">
        <v>1838</v>
      </c>
      <c r="J15" s="437" t="s">
        <v>1840</v>
      </c>
      <c r="K15" s="1261">
        <v>15827104</v>
      </c>
      <c r="L15" s="1262">
        <f t="shared" si="0"/>
        <v>20852.5744400527</v>
      </c>
      <c r="M15" s="1263">
        <f>+L15*'Factores Emisión EDGE'!$L$197/1000</f>
        <v>24.112307263730173</v>
      </c>
      <c r="N15" s="431"/>
    </row>
    <row r="16" spans="1:14" ht="14.25" customHeight="1">
      <c r="B16" s="1090" t="s">
        <v>1836</v>
      </c>
      <c r="C16" s="736" t="s">
        <v>1841</v>
      </c>
      <c r="D16" s="738">
        <v>0</v>
      </c>
      <c r="E16" s="743">
        <v>365215</v>
      </c>
      <c r="F16" s="1264">
        <v>401</v>
      </c>
      <c r="G16" s="1260">
        <f>F16*'Factores Emisión EDGE'!$L$252/1000</f>
        <v>0.3874335284</v>
      </c>
      <c r="H16" s="434"/>
      <c r="I16" s="457" t="s">
        <v>1838</v>
      </c>
      <c r="J16" s="437" t="s">
        <v>1842</v>
      </c>
      <c r="K16" s="1261">
        <v>4352001</v>
      </c>
      <c r="L16" s="1262">
        <f t="shared" si="0"/>
        <v>5733.861660079051</v>
      </c>
      <c r="M16" s="1263">
        <f>+L16*'Factores Emisión EDGE'!$L$197/1000</f>
        <v>6.6301949695952569</v>
      </c>
      <c r="N16" s="431"/>
    </row>
    <row r="17" spans="2:13" ht="14.25" customHeight="1">
      <c r="B17" s="1090" t="s">
        <v>1836</v>
      </c>
      <c r="C17" s="736" t="s">
        <v>1843</v>
      </c>
      <c r="D17" s="738">
        <v>0</v>
      </c>
      <c r="E17" s="743">
        <v>432136</v>
      </c>
      <c r="F17" s="1264">
        <v>480</v>
      </c>
      <c r="G17" s="1260">
        <f>F17*'Factores Emisión EDGE'!$L$252/1000</f>
        <v>0.46376083200000001</v>
      </c>
      <c r="H17" s="434"/>
      <c r="I17" s="457" t="s">
        <v>1838</v>
      </c>
      <c r="J17" s="437" t="s">
        <v>1844</v>
      </c>
      <c r="K17" s="1261">
        <v>3577152</v>
      </c>
      <c r="L17" s="1262">
        <f t="shared" si="0"/>
        <v>4712.98023715415</v>
      </c>
      <c r="M17" s="1263">
        <f>+L17*'Factores Emisión EDGE'!$L$197/1000</f>
        <v>5.4497265041707514</v>
      </c>
    </row>
    <row r="18" spans="2:13" ht="14.25" customHeight="1">
      <c r="B18" s="1090" t="s">
        <v>1836</v>
      </c>
      <c r="C18" s="736" t="s">
        <v>1845</v>
      </c>
      <c r="D18" s="738">
        <v>0</v>
      </c>
      <c r="E18" s="743">
        <v>1133038</v>
      </c>
      <c r="F18" s="1264">
        <v>1275</v>
      </c>
      <c r="G18" s="1260">
        <f>F18*'Factores Emisión EDGE'!$L$252/1000</f>
        <v>1.23186471</v>
      </c>
      <c r="H18" s="434"/>
      <c r="I18" s="457" t="s">
        <v>1838</v>
      </c>
      <c r="J18" s="437" t="s">
        <v>1846</v>
      </c>
      <c r="K18" s="1261">
        <v>3188255</v>
      </c>
      <c r="L18" s="1262">
        <f t="shared" si="0"/>
        <v>4200.599472990777</v>
      </c>
      <c r="M18" s="1263">
        <f>+L18*'Factores Emisión EDGE'!$L$197/1000</f>
        <v>4.8572489442872202</v>
      </c>
    </row>
    <row r="19" spans="2:13" ht="14.25" customHeight="1">
      <c r="B19" s="1090" t="s">
        <v>1836</v>
      </c>
      <c r="C19" s="736" t="s">
        <v>1847</v>
      </c>
      <c r="D19" s="738">
        <v>0</v>
      </c>
      <c r="E19" s="743">
        <v>1087555</v>
      </c>
      <c r="F19" s="1264">
        <v>1283</v>
      </c>
      <c r="G19" s="1260">
        <f>F19*'Factores Emisión EDGE'!$L$252/1000</f>
        <v>1.2395940571999999</v>
      </c>
      <c r="H19" s="434"/>
      <c r="I19" s="457" t="s">
        <v>1838</v>
      </c>
      <c r="J19" s="437" t="s">
        <v>1848</v>
      </c>
      <c r="K19" s="1261">
        <v>3144002</v>
      </c>
      <c r="L19" s="1262">
        <f t="shared" si="0"/>
        <v>4142.29512516469</v>
      </c>
      <c r="M19" s="1263">
        <f>+L19*'Factores Emisión EDGE'!$L$197/1000</f>
        <v>4.7898302975567848</v>
      </c>
    </row>
    <row r="20" spans="2:13" ht="14.25" customHeight="1">
      <c r="B20" s="1090" t="s">
        <v>1836</v>
      </c>
      <c r="C20" s="736" t="s">
        <v>1849</v>
      </c>
      <c r="D20" s="738">
        <v>0</v>
      </c>
      <c r="E20" s="743">
        <v>384766</v>
      </c>
      <c r="F20" s="1264">
        <v>415</v>
      </c>
      <c r="G20" s="1260">
        <f>F20*'Factores Emisión EDGE'!$L$252/1000</f>
        <v>0.40095988600000004</v>
      </c>
      <c r="H20" s="434"/>
      <c r="I20" s="457" t="s">
        <v>1838</v>
      </c>
      <c r="J20" s="437" t="s">
        <v>1850</v>
      </c>
      <c r="K20" s="1261">
        <v>2952989</v>
      </c>
      <c r="L20" s="1262">
        <f t="shared" si="0"/>
        <v>3890.631093544137</v>
      </c>
      <c r="M20" s="1263">
        <f>+L20*'Factores Emisión EDGE'!$L$197/1000</f>
        <v>4.4988254398540182</v>
      </c>
    </row>
    <row r="21" spans="2:13" ht="14.25" customHeight="1">
      <c r="B21" s="1090" t="s">
        <v>1836</v>
      </c>
      <c r="C21" s="736" t="s">
        <v>1851</v>
      </c>
      <c r="D21" s="738">
        <v>0</v>
      </c>
      <c r="E21" s="743">
        <v>190949</v>
      </c>
      <c r="F21" s="1264">
        <v>218</v>
      </c>
      <c r="G21" s="1260">
        <f>F21*'Factores Emisión EDGE'!$L$252/1000</f>
        <v>0.21062471120000001</v>
      </c>
      <c r="H21" s="434"/>
      <c r="I21" s="457" t="s">
        <v>1838</v>
      </c>
      <c r="J21" s="437" t="s">
        <v>1852</v>
      </c>
      <c r="K21" s="1261">
        <v>2327882</v>
      </c>
      <c r="L21" s="1262">
        <f t="shared" si="0"/>
        <v>3067.038208168643</v>
      </c>
      <c r="M21" s="1263">
        <f>+L21*'Factores Emisión EDGE'!$L$197/1000</f>
        <v>3.5464862085765487</v>
      </c>
    </row>
    <row r="22" spans="2:13" ht="14.25" customHeight="1">
      <c r="B22" s="1090" t="s">
        <v>1836</v>
      </c>
      <c r="C22" s="736" t="s">
        <v>1853</v>
      </c>
      <c r="D22" s="738">
        <v>0</v>
      </c>
      <c r="E22" s="743">
        <v>861944</v>
      </c>
      <c r="F22" s="1264">
        <v>956</v>
      </c>
      <c r="G22" s="1260">
        <f>F22*'Factores Emisión EDGE'!$L$252/1000</f>
        <v>0.92365699040000004</v>
      </c>
      <c r="H22" s="434"/>
      <c r="I22" s="457" t="s">
        <v>1834</v>
      </c>
      <c r="J22" s="437" t="s">
        <v>1840</v>
      </c>
      <c r="K22" s="1261">
        <v>1570383</v>
      </c>
      <c r="L22" s="1262">
        <f t="shared" si="0"/>
        <v>2069.01581027668</v>
      </c>
      <c r="M22" s="1263">
        <f>+L22*'Factores Emisión EDGE'!$L$252/1000</f>
        <v>1.9990176949897236</v>
      </c>
    </row>
    <row r="23" spans="2:13" ht="14.25" customHeight="1">
      <c r="B23" s="1090" t="s">
        <v>1836</v>
      </c>
      <c r="C23" s="736" t="s">
        <v>1854</v>
      </c>
      <c r="D23" s="738">
        <v>0</v>
      </c>
      <c r="E23" s="743">
        <v>1293308</v>
      </c>
      <c r="F23" s="1264">
        <v>1420</v>
      </c>
      <c r="G23" s="1260">
        <f>F23*'Factores Emisión EDGE'!$L$252/1000</f>
        <v>1.3719591279999999</v>
      </c>
      <c r="H23" s="434"/>
      <c r="I23" s="457" t="s">
        <v>1834</v>
      </c>
      <c r="J23" s="437" t="s">
        <v>1850</v>
      </c>
      <c r="K23" s="1261">
        <v>919879</v>
      </c>
      <c r="L23" s="1262">
        <f t="shared" si="0"/>
        <v>1211.961791831357</v>
      </c>
      <c r="M23" s="1263">
        <f>+L23*'Factores Emisión EDGE'!$L$252/1000</f>
        <v>1.1709591852748353</v>
      </c>
    </row>
    <row r="24" spans="2:13" ht="14.25" customHeight="1">
      <c r="B24" s="1090" t="s">
        <v>1836</v>
      </c>
      <c r="C24" s="736" t="s">
        <v>1855</v>
      </c>
      <c r="D24" s="738">
        <v>0</v>
      </c>
      <c r="E24" s="743">
        <v>183805</v>
      </c>
      <c r="F24" s="1264">
        <v>198</v>
      </c>
      <c r="G24" s="1260">
        <f>F24*'Factores Emisión EDGE'!$L$252/1000</f>
        <v>0.19130134320000003</v>
      </c>
      <c r="H24" s="434"/>
      <c r="I24" s="457" t="s">
        <v>1834</v>
      </c>
      <c r="J24" s="437" t="s">
        <v>1852</v>
      </c>
      <c r="K24" s="1261">
        <v>498143</v>
      </c>
      <c r="L24" s="1262">
        <f t="shared" si="0"/>
        <v>656.31488801054013</v>
      </c>
      <c r="M24" s="1263">
        <f>+L24*'Factores Emisión EDGE'!$L$252/1000</f>
        <v>0.63411070524532276</v>
      </c>
    </row>
    <row r="25" spans="2:13" ht="14.25" customHeight="1">
      <c r="B25" s="1090" t="s">
        <v>1836</v>
      </c>
      <c r="C25" s="736" t="s">
        <v>1856</v>
      </c>
      <c r="D25" s="738">
        <v>0</v>
      </c>
      <c r="E25" s="743">
        <v>404481</v>
      </c>
      <c r="F25" s="1264">
        <v>439</v>
      </c>
      <c r="G25" s="1260">
        <f>F25*'Factores Emisión EDGE'!$L$252/1000</f>
        <v>0.42414792760000003</v>
      </c>
      <c r="H25" s="434"/>
      <c r="I25" s="457" t="s">
        <v>1834</v>
      </c>
      <c r="J25" s="437" t="s">
        <v>1848</v>
      </c>
      <c r="K25" s="1261">
        <v>488121</v>
      </c>
      <c r="L25" s="1262">
        <f t="shared" si="0"/>
        <v>643.11067193675888</v>
      </c>
      <c r="M25" s="1263">
        <f>+L25*'Factores Emisión EDGE'!$L$252/1000</f>
        <v>0.62135320892806323</v>
      </c>
    </row>
    <row r="26" spans="2:13" ht="14.25" customHeight="1">
      <c r="B26" s="1090" t="s">
        <v>1836</v>
      </c>
      <c r="C26" s="736" t="s">
        <v>1857</v>
      </c>
      <c r="D26" s="738">
        <v>0</v>
      </c>
      <c r="E26" s="743">
        <v>440721</v>
      </c>
      <c r="F26" s="1264">
        <v>469</v>
      </c>
      <c r="G26" s="1260">
        <f>F26*'Factores Emisión EDGE'!$L$252/1000</f>
        <v>0.45313297959999999</v>
      </c>
      <c r="H26" s="434"/>
      <c r="I26" s="457" t="s">
        <v>1838</v>
      </c>
      <c r="J26" s="437" t="s">
        <v>1858</v>
      </c>
      <c r="K26" s="1261">
        <v>152903</v>
      </c>
      <c r="L26" s="1262">
        <f t="shared" si="0"/>
        <v>201.45322793148881</v>
      </c>
      <c r="M26" s="1263">
        <f>+L26*'Factores Emisión EDGE'!$L$197/1000</f>
        <v>0.23294496059077735</v>
      </c>
    </row>
    <row r="27" spans="2:13" ht="14.25" customHeight="1">
      <c r="B27" s="1090" t="s">
        <v>1836</v>
      </c>
      <c r="C27" s="736" t="s">
        <v>1859</v>
      </c>
      <c r="D27" s="738">
        <v>0</v>
      </c>
      <c r="E27" s="743">
        <v>279380</v>
      </c>
      <c r="F27" s="1264">
        <v>350</v>
      </c>
      <c r="G27" s="1260">
        <f>F27*'Factores Emisión EDGE'!$L$252/1000</f>
        <v>0.33815894000000002</v>
      </c>
      <c r="H27" s="434"/>
      <c r="I27" s="457"/>
      <c r="J27" s="490"/>
      <c r="K27" s="457"/>
      <c r="L27" s="1265"/>
      <c r="M27" s="1266"/>
    </row>
    <row r="28" spans="2:13" ht="14.25" customHeight="1">
      <c r="B28" s="1090" t="s">
        <v>1836</v>
      </c>
      <c r="C28" s="736" t="s">
        <v>1860</v>
      </c>
      <c r="D28" s="738">
        <v>0</v>
      </c>
      <c r="E28" s="743">
        <v>2907410</v>
      </c>
      <c r="F28" s="1264">
        <v>3331</v>
      </c>
      <c r="G28" s="1260">
        <f>F28*'Factores Emisión EDGE'!$L$252/1000</f>
        <v>3.2183069404000002</v>
      </c>
      <c r="H28" s="434"/>
      <c r="I28" s="1267" t="s">
        <v>567</v>
      </c>
      <c r="J28" s="431"/>
      <c r="K28" s="431"/>
      <c r="L28" s="1268" t="s">
        <v>87</v>
      </c>
      <c r="M28" s="1269">
        <f>+SUM(M13:M27)</f>
        <v>107.544242145239</v>
      </c>
    </row>
    <row r="29" spans="2:13" ht="14.25" customHeight="1">
      <c r="B29" s="1090" t="s">
        <v>1836</v>
      </c>
      <c r="C29" s="736" t="s">
        <v>1861</v>
      </c>
      <c r="D29" s="738">
        <v>0</v>
      </c>
      <c r="E29" s="743">
        <v>63866</v>
      </c>
      <c r="F29" s="1264">
        <v>67</v>
      </c>
      <c r="G29" s="1260">
        <f>F29*'Factores Emisión EDGE'!$L$252/1000</f>
        <v>6.47332828E-2</v>
      </c>
      <c r="H29" s="434"/>
      <c r="I29" s="431"/>
      <c r="J29" s="431"/>
      <c r="K29" s="431"/>
      <c r="L29" s="431"/>
      <c r="M29" s="431"/>
    </row>
    <row r="30" spans="2:13" ht="14.25" customHeight="1">
      <c r="B30" s="1090" t="s">
        <v>1836</v>
      </c>
      <c r="C30" s="736" t="s">
        <v>1862</v>
      </c>
      <c r="D30" s="738">
        <v>0</v>
      </c>
      <c r="E30" s="743">
        <v>178608</v>
      </c>
      <c r="F30" s="1264">
        <v>187</v>
      </c>
      <c r="G30" s="1260">
        <f>F30*'Factores Emisión EDGE'!$L$252/1000</f>
        <v>0.1806734908</v>
      </c>
      <c r="H30" s="434"/>
      <c r="I30" s="431"/>
      <c r="J30" s="431"/>
      <c r="K30" s="431"/>
      <c r="L30" s="431"/>
      <c r="M30" s="431"/>
    </row>
    <row r="31" spans="2:13" ht="14.25" customHeight="1">
      <c r="B31" s="1090" t="s">
        <v>1836</v>
      </c>
      <c r="C31" s="736" t="s">
        <v>1863</v>
      </c>
      <c r="D31" s="738">
        <v>0</v>
      </c>
      <c r="E31" s="743">
        <v>2056721</v>
      </c>
      <c r="F31" s="1264">
        <v>2368</v>
      </c>
      <c r="G31" s="1260">
        <f>F31*'Factores Emisión EDGE'!$L$252/1000</f>
        <v>2.2878867712000002</v>
      </c>
      <c r="H31" s="434"/>
      <c r="I31" s="431"/>
      <c r="J31" s="660"/>
      <c r="K31" s="431"/>
      <c r="L31" s="431"/>
      <c r="M31" s="431"/>
    </row>
    <row r="32" spans="2:13" ht="14.25" customHeight="1">
      <c r="B32" s="1090" t="s">
        <v>1836</v>
      </c>
      <c r="C32" s="736" t="s">
        <v>1864</v>
      </c>
      <c r="D32" s="738">
        <v>0</v>
      </c>
      <c r="E32" s="743">
        <v>278574</v>
      </c>
      <c r="F32" s="1264">
        <v>291</v>
      </c>
      <c r="G32" s="1260">
        <f>F32*'Factores Emisión EDGE'!$L$252/1000</f>
        <v>0.28115500440000002</v>
      </c>
      <c r="H32" s="434"/>
      <c r="I32" s="431"/>
      <c r="J32" s="431"/>
      <c r="K32" s="431"/>
      <c r="L32" s="431"/>
      <c r="M32" s="431"/>
    </row>
    <row r="33" spans="1:13" ht="14.25" customHeight="1">
      <c r="B33" s="1090" t="s">
        <v>1836</v>
      </c>
      <c r="C33" s="736" t="s">
        <v>1865</v>
      </c>
      <c r="D33" s="738">
        <v>0</v>
      </c>
      <c r="E33" s="743">
        <v>605595</v>
      </c>
      <c r="F33" s="1264">
        <v>644</v>
      </c>
      <c r="G33" s="1260">
        <f>F33*'Factores Emisión EDGE'!$L$252/1000</f>
        <v>0.62221244959999999</v>
      </c>
      <c r="H33" s="434"/>
      <c r="I33" s="431"/>
      <c r="J33" s="431"/>
      <c r="K33" s="431"/>
      <c r="L33" s="431"/>
      <c r="M33" s="431"/>
    </row>
    <row r="34" spans="1:13" ht="14.25" customHeight="1">
      <c r="B34" s="1090" t="s">
        <v>1836</v>
      </c>
      <c r="C34" s="736" t="s">
        <v>1866</v>
      </c>
      <c r="D34" s="738">
        <v>0</v>
      </c>
      <c r="E34" s="743">
        <v>195900</v>
      </c>
      <c r="F34" s="1264">
        <v>205</v>
      </c>
      <c r="G34" s="1260">
        <f>F34*'Factores Emisión EDGE'!$L$252/1000</f>
        <v>0.19806452200000002</v>
      </c>
      <c r="H34" s="434"/>
      <c r="I34" s="431"/>
      <c r="J34" s="431"/>
      <c r="K34" s="431"/>
      <c r="L34" s="431"/>
      <c r="M34" s="431"/>
    </row>
    <row r="35" spans="1:13" ht="14.25" customHeight="1">
      <c r="B35" s="1090" t="s">
        <v>1836</v>
      </c>
      <c r="C35" s="736" t="s">
        <v>1867</v>
      </c>
      <c r="D35" s="738">
        <v>0</v>
      </c>
      <c r="E35" s="743">
        <v>798254</v>
      </c>
      <c r="F35" s="1264">
        <v>882</v>
      </c>
      <c r="G35" s="1260">
        <f>F35*'Factores Emisión EDGE'!$L$252/1000</f>
        <v>0.85216052880000004</v>
      </c>
      <c r="H35" s="434"/>
      <c r="I35" s="431"/>
      <c r="J35" s="431"/>
      <c r="K35" s="431"/>
      <c r="L35" s="431"/>
      <c r="M35" s="431"/>
    </row>
    <row r="36" spans="1:13" ht="14.25" customHeight="1">
      <c r="B36" s="1090" t="s">
        <v>1836</v>
      </c>
      <c r="C36" s="736" t="s">
        <v>1868</v>
      </c>
      <c r="D36" s="738">
        <v>0</v>
      </c>
      <c r="E36" s="743">
        <v>121778</v>
      </c>
      <c r="F36" s="1264">
        <v>135</v>
      </c>
      <c r="G36" s="1260">
        <f>F36*'Factores Emisión EDGE'!$L$252/1000</f>
        <v>0.13043273400000002</v>
      </c>
      <c r="H36" s="434"/>
      <c r="I36" s="431"/>
      <c r="J36" s="431"/>
      <c r="K36" s="431"/>
      <c r="L36" s="431"/>
      <c r="M36" s="431"/>
    </row>
    <row r="37" spans="1:13" ht="14.25" customHeight="1">
      <c r="B37" s="618"/>
      <c r="C37" s="450"/>
      <c r="D37" s="450"/>
      <c r="E37" s="450"/>
      <c r="F37" s="1268" t="s">
        <v>87</v>
      </c>
      <c r="G37" s="1270">
        <f>SUM(G13:G36)</f>
        <v>66.055033653599978</v>
      </c>
      <c r="H37" s="434"/>
      <c r="I37" s="431"/>
      <c r="J37" s="431"/>
      <c r="K37" s="431"/>
      <c r="M37" s="431"/>
    </row>
    <row r="38" spans="1:13" ht="14.25" customHeight="1">
      <c r="H38" s="434"/>
      <c r="I38" s="431"/>
      <c r="J38" s="431"/>
      <c r="K38" s="431"/>
      <c r="L38" s="431"/>
      <c r="M38" s="431"/>
    </row>
    <row r="39" spans="1:13" ht="14.25" customHeight="1">
      <c r="A39" s="1271"/>
      <c r="H39" s="431"/>
      <c r="I39" s="431"/>
      <c r="J39" s="431"/>
      <c r="K39" s="431"/>
      <c r="L39" s="431"/>
      <c r="M39" s="431"/>
    </row>
    <row r="40" spans="1:13" ht="14.25" customHeight="1">
      <c r="A40" s="1271"/>
      <c r="B40" s="431"/>
      <c r="C40" s="431"/>
      <c r="D40" s="431"/>
      <c r="E40" s="431"/>
      <c r="F40" s="591"/>
      <c r="G40" s="431"/>
      <c r="H40" s="431"/>
      <c r="I40" s="431"/>
      <c r="J40" s="431"/>
      <c r="K40" s="431"/>
      <c r="L40" s="431"/>
      <c r="M40" s="431"/>
    </row>
    <row r="41" spans="1:13" ht="14.25" customHeight="1">
      <c r="A41" s="622"/>
      <c r="B41" s="444"/>
      <c r="C41" s="444"/>
      <c r="D41" s="444"/>
      <c r="E41" s="444"/>
      <c r="F41" s="622"/>
      <c r="G41" s="444"/>
      <c r="H41" s="444"/>
      <c r="I41" s="444"/>
      <c r="J41" s="444"/>
      <c r="K41" s="444"/>
      <c r="L41" s="431"/>
      <c r="M41" s="431"/>
    </row>
    <row r="42" spans="1:13" ht="14.25" customHeight="1">
      <c r="A42" s="1578" t="s">
        <v>874</v>
      </c>
      <c r="B42" s="1392"/>
      <c r="C42" s="1392"/>
      <c r="D42" s="1392"/>
      <c r="E42" s="1392"/>
      <c r="F42" s="1392"/>
      <c r="G42" s="1392"/>
      <c r="H42" s="1392"/>
      <c r="I42" s="1392"/>
      <c r="J42" s="1392"/>
      <c r="K42" s="1393"/>
      <c r="L42" s="434"/>
      <c r="M42" s="431"/>
    </row>
    <row r="43" spans="1:13" ht="14.25" customHeight="1">
      <c r="A43" s="451" t="s">
        <v>875</v>
      </c>
      <c r="B43" s="451" t="s">
        <v>259</v>
      </c>
      <c r="C43" s="451" t="s">
        <v>876</v>
      </c>
      <c r="D43" s="451"/>
      <c r="E43" s="451">
        <v>2021</v>
      </c>
      <c r="F43" s="451">
        <v>2022</v>
      </c>
      <c r="G43" s="451" t="s">
        <v>927</v>
      </c>
      <c r="H43" s="1576" t="s">
        <v>877</v>
      </c>
      <c r="I43" s="1392"/>
      <c r="J43" s="1392"/>
      <c r="K43" s="1392"/>
      <c r="L43" s="1392"/>
      <c r="M43" s="1393"/>
    </row>
    <row r="44" spans="1:13" ht="14.25" customHeight="1">
      <c r="A44" s="457"/>
      <c r="B44" s="801" t="s">
        <v>1869</v>
      </c>
      <c r="C44" s="457" t="s">
        <v>47</v>
      </c>
      <c r="D44" s="1272"/>
      <c r="E44" s="1272">
        <f>SUM(K13:K26)</f>
        <v>74102135</v>
      </c>
      <c r="F44" s="1273">
        <f>SUM(E13:E36)</f>
        <v>15137705</v>
      </c>
      <c r="G44" s="1274">
        <f>(F44-E44)/E44</f>
        <v>-0.79571836897816772</v>
      </c>
      <c r="H44" s="1577"/>
      <c r="I44" s="1392"/>
      <c r="J44" s="1392"/>
      <c r="K44" s="1392"/>
      <c r="L44" s="1392"/>
      <c r="M44" s="1393"/>
    </row>
  </sheetData>
  <mergeCells count="7">
    <mergeCell ref="H43:M43"/>
    <mergeCell ref="H44:M44"/>
    <mergeCell ref="A1:N1"/>
    <mergeCell ref="B5:C6"/>
    <mergeCell ref="B11:G11"/>
    <mergeCell ref="I11:M11"/>
    <mergeCell ref="A42:K42"/>
  </mergeCells>
  <hyperlinks>
    <hyperlink ref="B3" location="null!A1" display="CONTENIDOS" xr:uid="{00000000-0004-0000-1100-000000000000}"/>
  </hyperlinks>
  <pageMargins left="0.7" right="0.7" top="0.75" bottom="0.75" header="0" footer="0"/>
  <pageSetup paperSize="9" orientation="portrai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FF"/>
  </sheetPr>
  <dimension ref="A1:L43"/>
  <sheetViews>
    <sheetView workbookViewId="0">
      <selection activeCell="C1" sqref="C1"/>
    </sheetView>
  </sheetViews>
  <sheetFormatPr baseColWidth="10" defaultColWidth="12.6640625" defaultRowHeight="15" customHeight="1"/>
  <cols>
    <col min="1" max="1" width="4.109375" customWidth="1"/>
    <col min="2" max="2" width="6" customWidth="1"/>
    <col min="3" max="3" width="26.21875" customWidth="1"/>
    <col min="4" max="4" width="27.88671875" customWidth="1"/>
    <col min="5" max="9" width="13.88671875" customWidth="1"/>
    <col min="10" max="10" width="6.77734375" customWidth="1"/>
    <col min="11" max="11" width="8.77734375" customWidth="1"/>
    <col min="12" max="12" width="10.88671875" customWidth="1"/>
    <col min="13" max="23" width="8.6640625" customWidth="1"/>
    <col min="24" max="25" width="14.44140625" customWidth="1"/>
  </cols>
  <sheetData>
    <row r="1" spans="1:12" ht="14.25" customHeight="1">
      <c r="A1" s="534" t="s">
        <v>1870</v>
      </c>
      <c r="B1" s="429"/>
      <c r="C1" s="429"/>
      <c r="D1" s="429"/>
      <c r="E1" s="429"/>
      <c r="F1" s="429"/>
      <c r="G1" s="429"/>
      <c r="H1" s="429"/>
      <c r="I1" s="430"/>
      <c r="J1" s="429"/>
      <c r="K1" s="429"/>
      <c r="L1" s="429"/>
    </row>
    <row r="2" spans="1:12" ht="14.25" customHeight="1">
      <c r="A2" s="431"/>
      <c r="B2" s="431"/>
      <c r="C2" s="431"/>
      <c r="D2" s="431"/>
      <c r="E2" s="431"/>
      <c r="F2" s="431"/>
      <c r="G2" s="431"/>
      <c r="H2" s="431"/>
      <c r="I2" s="432"/>
      <c r="J2" s="431"/>
      <c r="K2" s="431"/>
      <c r="L2" s="431"/>
    </row>
    <row r="3" spans="1:12" ht="14.25" customHeight="1">
      <c r="A3" s="431"/>
      <c r="B3" s="1228" t="s">
        <v>1789</v>
      </c>
      <c r="C3" s="1228"/>
      <c r="D3" s="1228"/>
      <c r="E3" s="1228"/>
      <c r="F3" s="1228"/>
      <c r="G3" s="431"/>
      <c r="H3" s="431"/>
      <c r="I3" s="432"/>
      <c r="J3" s="431"/>
      <c r="K3" s="431"/>
      <c r="L3" s="431"/>
    </row>
    <row r="4" spans="1:12" ht="14.25" customHeight="1">
      <c r="A4" s="431"/>
      <c r="B4" s="431"/>
      <c r="C4" s="431"/>
      <c r="D4" s="431"/>
      <c r="E4" s="431"/>
      <c r="F4" s="431"/>
      <c r="G4" s="431"/>
      <c r="H4" s="431"/>
      <c r="I4" s="432"/>
      <c r="J4" s="431"/>
      <c r="K4" s="431"/>
      <c r="L4" s="431"/>
    </row>
    <row r="5" spans="1:12" ht="18" customHeight="1">
      <c r="A5" s="431"/>
      <c r="B5" s="1450" t="s">
        <v>1871</v>
      </c>
      <c r="C5" s="1451"/>
      <c r="D5" s="1451"/>
      <c r="E5" s="1451"/>
      <c r="F5" s="1451"/>
      <c r="G5" s="1451"/>
      <c r="H5" s="1451"/>
      <c r="I5" s="1451"/>
      <c r="J5" s="1452"/>
      <c r="K5" s="431"/>
      <c r="L5" s="431"/>
    </row>
    <row r="6" spans="1:12" ht="14.25" customHeight="1">
      <c r="A6" s="431"/>
      <c r="B6" s="1471"/>
      <c r="C6" s="1396"/>
      <c r="D6" s="1396"/>
      <c r="E6" s="1396"/>
      <c r="F6" s="1396"/>
      <c r="G6" s="1396"/>
      <c r="H6" s="1396"/>
      <c r="I6" s="1396"/>
      <c r="J6" s="1472"/>
      <c r="K6" s="431"/>
      <c r="L6" s="431"/>
    </row>
    <row r="7" spans="1:12" ht="15" customHeight="1">
      <c r="A7" s="431"/>
      <c r="B7" s="1453"/>
      <c r="C7" s="1454"/>
      <c r="D7" s="1454"/>
      <c r="E7" s="1454"/>
      <c r="F7" s="1454"/>
      <c r="G7" s="1454"/>
      <c r="H7" s="1454"/>
      <c r="I7" s="1454"/>
      <c r="J7" s="1455"/>
      <c r="K7" s="431"/>
      <c r="L7" s="431"/>
    </row>
    <row r="8" spans="1:12" ht="18.75" customHeight="1">
      <c r="A8" s="431"/>
      <c r="B8" s="435"/>
      <c r="C8" s="435"/>
      <c r="D8" s="435"/>
      <c r="E8" s="435"/>
      <c r="F8" s="435"/>
      <c r="G8" s="435"/>
      <c r="H8" s="435"/>
      <c r="I8" s="435"/>
      <c r="J8" s="435"/>
      <c r="K8" s="431"/>
      <c r="L8" s="431"/>
    </row>
    <row r="9" spans="1:12" ht="21.75" customHeight="1">
      <c r="A9" s="431"/>
      <c r="B9" s="438" t="s">
        <v>426</v>
      </c>
      <c r="C9" s="535" t="s">
        <v>1872</v>
      </c>
      <c r="D9" s="440"/>
      <c r="E9" s="440"/>
      <c r="F9" s="440"/>
      <c r="G9" s="440"/>
      <c r="H9" s="440"/>
      <c r="I9" s="440"/>
      <c r="J9" s="440"/>
      <c r="K9" s="431"/>
      <c r="L9" s="431"/>
    </row>
    <row r="10" spans="1:12" ht="21.75" customHeight="1">
      <c r="A10" s="431"/>
      <c r="B10" s="438" t="s">
        <v>583</v>
      </c>
      <c r="C10" s="535" t="s">
        <v>1873</v>
      </c>
      <c r="D10" s="440"/>
      <c r="E10" s="440"/>
      <c r="F10" s="440"/>
      <c r="G10" s="440"/>
      <c r="H10" s="440"/>
      <c r="I10" s="440"/>
      <c r="J10" s="440"/>
      <c r="K10" s="431"/>
      <c r="L10" s="431"/>
    </row>
    <row r="11" spans="1:12" ht="14.25" customHeight="1">
      <c r="A11" s="431"/>
      <c r="B11" s="431"/>
      <c r="C11" s="431"/>
      <c r="D11" s="431"/>
      <c r="E11" s="431"/>
      <c r="F11" s="431"/>
      <c r="G11" s="431"/>
      <c r="H11" s="431"/>
      <c r="I11" s="432"/>
      <c r="J11" s="431"/>
      <c r="K11" s="431"/>
      <c r="L11" s="431"/>
    </row>
    <row r="12" spans="1:12" ht="14.25" customHeight="1">
      <c r="A12" s="431"/>
      <c r="B12" s="1582" t="s">
        <v>1874</v>
      </c>
      <c r="C12" s="1474"/>
      <c r="D12" s="1474"/>
      <c r="E12" s="1474"/>
      <c r="F12" s="1474"/>
      <c r="G12" s="1474"/>
      <c r="H12" s="1474"/>
      <c r="I12" s="1474"/>
      <c r="J12" s="1583"/>
      <c r="K12" s="449" t="s">
        <v>50</v>
      </c>
      <c r="L12" s="449" t="s">
        <v>54</v>
      </c>
    </row>
    <row r="13" spans="1:12" ht="14.25" customHeight="1">
      <c r="A13" s="445"/>
      <c r="B13" s="1275" t="s">
        <v>919</v>
      </c>
      <c r="C13" s="1275" t="s">
        <v>920</v>
      </c>
      <c r="D13" s="1275" t="s">
        <v>921</v>
      </c>
      <c r="E13" s="1275" t="s">
        <v>922</v>
      </c>
      <c r="F13" s="1275" t="s">
        <v>923</v>
      </c>
      <c r="G13" s="1276" t="s">
        <v>1875</v>
      </c>
      <c r="H13" s="1275" t="s">
        <v>434</v>
      </c>
      <c r="I13" s="1277" t="s">
        <v>925</v>
      </c>
      <c r="J13" s="1275" t="s">
        <v>114</v>
      </c>
      <c r="K13" s="1278" t="s">
        <v>437</v>
      </c>
      <c r="L13" s="1278" t="s">
        <v>437</v>
      </c>
    </row>
    <row r="14" spans="1:12" ht="14.25" customHeight="1">
      <c r="A14" s="445"/>
      <c r="B14" s="1279" t="s">
        <v>928</v>
      </c>
      <c r="C14" s="1280" t="s">
        <v>1876</v>
      </c>
      <c r="D14" s="1280" t="s">
        <v>1798</v>
      </c>
      <c r="E14" s="1280" t="s">
        <v>1877</v>
      </c>
      <c r="F14" s="1280" t="s">
        <v>1799</v>
      </c>
      <c r="G14" s="1280" t="s">
        <v>1878</v>
      </c>
      <c r="H14" s="1280" t="s">
        <v>453</v>
      </c>
      <c r="I14" s="1281">
        <v>279.5</v>
      </c>
      <c r="J14" s="1282" t="s">
        <v>440</v>
      </c>
      <c r="K14" s="1283">
        <f>+I14*VLOOKUP(H14,'Factores Emisión EDGE'!$K$14:$L$19,2,FALSE)/1000</f>
        <v>0.7567169024999999</v>
      </c>
      <c r="L14" s="1284">
        <f>+I14*VLOOKUP(H14,'Factores Emisión EDGE'!$K$261:$L$266,2,FALSE)/1000</f>
        <v>3.7531259999999997E-2</v>
      </c>
    </row>
    <row r="15" spans="1:12" ht="14.25" customHeight="1">
      <c r="A15" s="445"/>
      <c r="B15" s="1285" t="s">
        <v>928</v>
      </c>
      <c r="C15" s="457" t="s">
        <v>1879</v>
      </c>
      <c r="D15" s="457" t="s">
        <v>1798</v>
      </c>
      <c r="E15" s="457" t="s">
        <v>1877</v>
      </c>
      <c r="F15" s="457" t="s">
        <v>952</v>
      </c>
      <c r="G15" s="457" t="s">
        <v>1878</v>
      </c>
      <c r="H15" s="457" t="s">
        <v>453</v>
      </c>
      <c r="I15" s="1286">
        <v>190.4</v>
      </c>
      <c r="J15" s="1287" t="s">
        <v>440</v>
      </c>
      <c r="K15" s="1288">
        <f>+I15*VLOOKUP(H15,'Factores Emisión EDGE'!$K$14:$L$19,2,FALSE)/1000</f>
        <v>0.51548800800000005</v>
      </c>
      <c r="L15" s="1289">
        <f>+I15*VLOOKUP(H15,'Factores Emisión EDGE'!$K$261:$L$266,2,FALSE)/1000</f>
        <v>2.5566911999999997E-2</v>
      </c>
    </row>
    <row r="16" spans="1:12" ht="14.25" customHeight="1">
      <c r="A16" s="445"/>
      <c r="B16" s="1285" t="s">
        <v>928</v>
      </c>
      <c r="C16" s="457" t="s">
        <v>1880</v>
      </c>
      <c r="D16" s="457" t="s">
        <v>1881</v>
      </c>
      <c r="E16" s="457" t="s">
        <v>1882</v>
      </c>
      <c r="F16" s="457" t="s">
        <v>956</v>
      </c>
      <c r="G16" s="457" t="s">
        <v>1878</v>
      </c>
      <c r="H16" s="457" t="s">
        <v>453</v>
      </c>
      <c r="I16" s="1286">
        <v>800</v>
      </c>
      <c r="J16" s="426" t="s">
        <v>440</v>
      </c>
      <c r="K16" s="1288">
        <f>+I16*VLOOKUP(H16,'Factores Emisión EDGE'!$K$14:$L$19,2,FALSE)/1000</f>
        <v>2.1659160000000002</v>
      </c>
      <c r="L16" s="1289">
        <f>+I16*VLOOKUP(H16,'Factores Emisión EDGE'!$K$261:$L$266,2,FALSE)/1000</f>
        <v>0.10742399999999999</v>
      </c>
    </row>
    <row r="17" spans="2:12" ht="14.25" customHeight="1">
      <c r="B17" s="1285" t="s">
        <v>928</v>
      </c>
      <c r="C17" s="457" t="s">
        <v>1883</v>
      </c>
      <c r="D17" s="457" t="s">
        <v>1881</v>
      </c>
      <c r="E17" s="469" t="s">
        <v>1884</v>
      </c>
      <c r="F17" s="469" t="s">
        <v>961</v>
      </c>
      <c r="G17" s="457" t="s">
        <v>1878</v>
      </c>
      <c r="H17" s="457" t="s">
        <v>453</v>
      </c>
      <c r="I17" s="1286">
        <v>200</v>
      </c>
      <c r="J17" s="426" t="s">
        <v>440</v>
      </c>
      <c r="K17" s="1288">
        <f>+I17*VLOOKUP(H17,'Factores Emisión EDGE'!$K$14:$L$19,2,FALSE)/1000</f>
        <v>0.54147900000000004</v>
      </c>
      <c r="L17" s="1289">
        <f>+I17*VLOOKUP(H17,'Factores Emisión EDGE'!$K$261:$L$266,2,FALSE)/1000</f>
        <v>2.6855999999999998E-2</v>
      </c>
    </row>
    <row r="18" spans="2:12" ht="14.25" customHeight="1">
      <c r="B18" s="1285" t="s">
        <v>928</v>
      </c>
      <c r="C18" s="457" t="s">
        <v>1885</v>
      </c>
      <c r="D18" s="457" t="s">
        <v>1813</v>
      </c>
      <c r="E18" s="469" t="s">
        <v>1886</v>
      </c>
      <c r="F18" s="469" t="s">
        <v>956</v>
      </c>
      <c r="G18" s="457" t="s">
        <v>1878</v>
      </c>
      <c r="H18" s="457" t="s">
        <v>453</v>
      </c>
      <c r="I18" s="1286">
        <v>1325</v>
      </c>
      <c r="J18" s="426" t="s">
        <v>440</v>
      </c>
      <c r="K18" s="1288">
        <f>+I18*VLOOKUP(H18,'Factores Emisión EDGE'!$K$14:$L$19,2,FALSE)/1000</f>
        <v>3.587298375</v>
      </c>
      <c r="L18" s="1289">
        <f>+I18*VLOOKUP(H18,'Factores Emisión EDGE'!$K$261:$L$266,2,FALSE)/1000</f>
        <v>0.17792099999999997</v>
      </c>
    </row>
    <row r="19" spans="2:12" ht="14.25" customHeight="1">
      <c r="B19" s="1285" t="s">
        <v>928</v>
      </c>
      <c r="C19" s="457" t="s">
        <v>1887</v>
      </c>
      <c r="D19" s="457" t="s">
        <v>1888</v>
      </c>
      <c r="E19" s="469" t="s">
        <v>1889</v>
      </c>
      <c r="F19" s="469" t="s">
        <v>1799</v>
      </c>
      <c r="G19" s="457" t="s">
        <v>1878</v>
      </c>
      <c r="H19" s="457" t="s">
        <v>453</v>
      </c>
      <c r="I19" s="1286">
        <v>100</v>
      </c>
      <c r="J19" s="426" t="s">
        <v>440</v>
      </c>
      <c r="K19" s="1288">
        <f>+I19*VLOOKUP(H19,'Factores Emisión EDGE'!$K$14:$L$19,2,FALSE)/1000</f>
        <v>0.27073950000000002</v>
      </c>
      <c r="L19" s="1289">
        <f>+I19*VLOOKUP(H19,'Factores Emisión EDGE'!$K$261:$L$266,2,FALSE)/1000</f>
        <v>1.3427999999999999E-2</v>
      </c>
    </row>
    <row r="20" spans="2:12" ht="14.25" customHeight="1">
      <c r="B20" s="1285" t="s">
        <v>928</v>
      </c>
      <c r="C20" s="457" t="s">
        <v>1890</v>
      </c>
      <c r="D20" s="457" t="s">
        <v>1891</v>
      </c>
      <c r="E20" s="469" t="s">
        <v>1861</v>
      </c>
      <c r="F20" s="469" t="s">
        <v>1799</v>
      </c>
      <c r="G20" s="457" t="s">
        <v>1878</v>
      </c>
      <c r="H20" s="457" t="s">
        <v>453</v>
      </c>
      <c r="I20" s="1286">
        <v>80</v>
      </c>
      <c r="J20" s="426" t="s">
        <v>440</v>
      </c>
      <c r="K20" s="1288">
        <f>+I20*VLOOKUP(H20,'Factores Emisión EDGE'!$K$14:$L$19,2,FALSE)/1000</f>
        <v>0.2165916</v>
      </c>
      <c r="L20" s="1289">
        <f>+I20*VLOOKUP(H20,'Factores Emisión EDGE'!$K$261:$L$266,2,FALSE)/1000</f>
        <v>1.0742399999999997E-2</v>
      </c>
    </row>
    <row r="21" spans="2:12" ht="14.25" customHeight="1">
      <c r="B21" s="1285" t="s">
        <v>928</v>
      </c>
      <c r="C21" s="457" t="s">
        <v>1892</v>
      </c>
      <c r="D21" s="457" t="s">
        <v>1893</v>
      </c>
      <c r="E21" s="469" t="s">
        <v>1864</v>
      </c>
      <c r="F21" s="469" t="s">
        <v>1799</v>
      </c>
      <c r="G21" s="457" t="s">
        <v>1878</v>
      </c>
      <c r="H21" s="457" t="s">
        <v>453</v>
      </c>
      <c r="I21" s="1286">
        <v>80</v>
      </c>
      <c r="J21" s="426" t="s">
        <v>440</v>
      </c>
      <c r="K21" s="1288">
        <f>+I21*VLOOKUP(H21,'Factores Emisión EDGE'!$K$14:$L$19,2,FALSE)/1000</f>
        <v>0.2165916</v>
      </c>
      <c r="L21" s="1289">
        <f>+I21*VLOOKUP(H21,'Factores Emisión EDGE'!$K$261:$L$266,2,FALSE)/1000</f>
        <v>1.0742399999999997E-2</v>
      </c>
    </row>
    <row r="22" spans="2:12" ht="14.25" customHeight="1">
      <c r="B22" s="1285" t="s">
        <v>928</v>
      </c>
      <c r="C22" s="457" t="s">
        <v>1894</v>
      </c>
      <c r="D22" s="457" t="s">
        <v>1812</v>
      </c>
      <c r="E22" s="469" t="s">
        <v>1895</v>
      </c>
      <c r="F22" s="469" t="s">
        <v>952</v>
      </c>
      <c r="G22" s="457" t="s">
        <v>1878</v>
      </c>
      <c r="H22" s="457" t="s">
        <v>453</v>
      </c>
      <c r="I22" s="1286">
        <v>80</v>
      </c>
      <c r="J22" s="426" t="s">
        <v>440</v>
      </c>
      <c r="K22" s="1288">
        <f>+I22*VLOOKUP(H22,'Factores Emisión EDGE'!$K$14:$L$19,2,FALSE)/1000</f>
        <v>0.2165916</v>
      </c>
      <c r="L22" s="1289">
        <f>+I22*VLOOKUP(H22,'Factores Emisión EDGE'!$K$261:$L$266,2,FALSE)/1000</f>
        <v>1.0742399999999997E-2</v>
      </c>
    </row>
    <row r="23" spans="2:12" ht="14.25" customHeight="1">
      <c r="B23" s="1285" t="s">
        <v>928</v>
      </c>
      <c r="C23" s="457" t="s">
        <v>1896</v>
      </c>
      <c r="D23" s="457" t="s">
        <v>1897</v>
      </c>
      <c r="E23" s="469" t="s">
        <v>1898</v>
      </c>
      <c r="F23" s="469" t="s">
        <v>952</v>
      </c>
      <c r="G23" s="457" t="s">
        <v>1878</v>
      </c>
      <c r="H23" s="457" t="s">
        <v>453</v>
      </c>
      <c r="I23" s="1286">
        <v>200</v>
      </c>
      <c r="J23" s="426" t="s">
        <v>440</v>
      </c>
      <c r="K23" s="1288">
        <f>+I23*VLOOKUP(H23,'Factores Emisión EDGE'!$K$14:$L$19,2,FALSE)/1000</f>
        <v>0.54147900000000004</v>
      </c>
      <c r="L23" s="1289">
        <f>+I23*VLOOKUP(H23,'Factores Emisión EDGE'!$K$261:$L$266,2,FALSE)/1000</f>
        <v>2.6855999999999998E-2</v>
      </c>
    </row>
    <row r="24" spans="2:12" ht="14.25" customHeight="1">
      <c r="B24" s="1285" t="s">
        <v>928</v>
      </c>
      <c r="C24" s="457" t="s">
        <v>1899</v>
      </c>
      <c r="D24" s="457" t="s">
        <v>1897</v>
      </c>
      <c r="E24" s="469" t="s">
        <v>1900</v>
      </c>
      <c r="F24" s="469" t="s">
        <v>952</v>
      </c>
      <c r="G24" s="457" t="s">
        <v>1878</v>
      </c>
      <c r="H24" s="457" t="s">
        <v>453</v>
      </c>
      <c r="I24" s="1286">
        <v>172</v>
      </c>
      <c r="J24" s="426" t="s">
        <v>440</v>
      </c>
      <c r="K24" s="1288">
        <f>+I24*VLOOKUP(H24,'Factores Emisión EDGE'!$K$14:$L$19,2,FALSE)/1000</f>
        <v>0.46567194000000001</v>
      </c>
      <c r="L24" s="1289">
        <f>+I24*VLOOKUP(H24,'Factores Emisión EDGE'!$K$261:$L$266,2,FALSE)/1000</f>
        <v>2.3096159999999998E-2</v>
      </c>
    </row>
    <row r="25" spans="2:12" ht="14.25" customHeight="1">
      <c r="B25" s="1285" t="s">
        <v>928</v>
      </c>
      <c r="C25" s="457" t="s">
        <v>1901</v>
      </c>
      <c r="D25" s="457" t="s">
        <v>1902</v>
      </c>
      <c r="E25" s="469" t="s">
        <v>1865</v>
      </c>
      <c r="F25" s="469" t="s">
        <v>952</v>
      </c>
      <c r="G25" s="457" t="s">
        <v>1878</v>
      </c>
      <c r="H25" s="457" t="s">
        <v>453</v>
      </c>
      <c r="I25" s="1286">
        <v>120</v>
      </c>
      <c r="J25" s="426" t="s">
        <v>440</v>
      </c>
      <c r="K25" s="1288">
        <f>+I25*VLOOKUP(H25,'Factores Emisión EDGE'!$K$14:$L$19,2,FALSE)/1000</f>
        <v>0.32488739999999999</v>
      </c>
      <c r="L25" s="1289">
        <f>+I25*VLOOKUP(H25,'Factores Emisión EDGE'!$K$261:$L$266,2,FALSE)/1000</f>
        <v>1.6113599999999999E-2</v>
      </c>
    </row>
    <row r="26" spans="2:12" ht="14.25" customHeight="1">
      <c r="B26" s="1285" t="s">
        <v>928</v>
      </c>
      <c r="C26" s="457" t="s">
        <v>1903</v>
      </c>
      <c r="D26" s="457" t="s">
        <v>1813</v>
      </c>
      <c r="E26" s="469" t="s">
        <v>1904</v>
      </c>
      <c r="F26" s="469" t="s">
        <v>952</v>
      </c>
      <c r="G26" s="457" t="s">
        <v>1878</v>
      </c>
      <c r="H26" s="457" t="s">
        <v>453</v>
      </c>
      <c r="I26" s="1286">
        <v>182</v>
      </c>
      <c r="J26" s="426" t="s">
        <v>440</v>
      </c>
      <c r="K26" s="1288">
        <f>+I26*VLOOKUP(H26,'Factores Emisión EDGE'!$K$14:$L$19,2,FALSE)/1000</f>
        <v>0.49274588999999996</v>
      </c>
      <c r="L26" s="1289">
        <f>+I26*VLOOKUP(H26,'Factores Emisión EDGE'!$K$261:$L$266,2,FALSE)/1000</f>
        <v>2.4438959999999999E-2</v>
      </c>
    </row>
    <row r="27" spans="2:12" ht="14.25" customHeight="1">
      <c r="B27" s="1285" t="s">
        <v>928</v>
      </c>
      <c r="C27" s="457" t="s">
        <v>1905</v>
      </c>
      <c r="D27" s="457" t="s">
        <v>1888</v>
      </c>
      <c r="E27" s="469" t="s">
        <v>1888</v>
      </c>
      <c r="F27" s="469" t="s">
        <v>1799</v>
      </c>
      <c r="G27" s="457" t="s">
        <v>1878</v>
      </c>
      <c r="H27" s="457" t="s">
        <v>453</v>
      </c>
      <c r="I27" s="1286">
        <v>60</v>
      </c>
      <c r="J27" s="426" t="s">
        <v>440</v>
      </c>
      <c r="K27" s="1288">
        <f>+I27*VLOOKUP(H27,'Factores Emisión EDGE'!$K$14:$L$19,2,FALSE)/1000</f>
        <v>0.1624437</v>
      </c>
      <c r="L27" s="1289">
        <f>+I27*VLOOKUP(H27,'Factores Emisión EDGE'!$K$261:$L$266,2,FALSE)/1000</f>
        <v>8.0567999999999994E-3</v>
      </c>
    </row>
    <row r="28" spans="2:12" ht="14.25" customHeight="1">
      <c r="B28" s="1285" t="s">
        <v>928</v>
      </c>
      <c r="C28" s="457" t="s">
        <v>1906</v>
      </c>
      <c r="D28" s="457" t="s">
        <v>1893</v>
      </c>
      <c r="E28" s="469" t="s">
        <v>1907</v>
      </c>
      <c r="F28" s="469" t="s">
        <v>1799</v>
      </c>
      <c r="G28" s="457" t="s">
        <v>1878</v>
      </c>
      <c r="H28" s="457" t="s">
        <v>453</v>
      </c>
      <c r="I28" s="1286">
        <v>80</v>
      </c>
      <c r="J28" s="426" t="s">
        <v>440</v>
      </c>
      <c r="K28" s="1288">
        <f>+I28*VLOOKUP(H28,'Factores Emisión EDGE'!$K$14:$L$19,2,FALSE)/1000</f>
        <v>0.2165916</v>
      </c>
      <c r="L28" s="1289">
        <f>+I28*VLOOKUP(H28,'Factores Emisión EDGE'!$K$261:$L$266,2,FALSE)/1000</f>
        <v>1.0742399999999997E-2</v>
      </c>
    </row>
    <row r="29" spans="2:12" ht="14.25" customHeight="1">
      <c r="B29" s="1290" t="s">
        <v>928</v>
      </c>
      <c r="C29" s="1291" t="s">
        <v>1908</v>
      </c>
      <c r="D29" s="1291" t="s">
        <v>1798</v>
      </c>
      <c r="E29" s="1292" t="s">
        <v>1909</v>
      </c>
      <c r="F29" s="1292" t="s">
        <v>1799</v>
      </c>
      <c r="G29" s="1291" t="s">
        <v>1878</v>
      </c>
      <c r="H29" s="1291" t="s">
        <v>453</v>
      </c>
      <c r="I29" s="1293">
        <v>250</v>
      </c>
      <c r="J29" s="1294" t="s">
        <v>440</v>
      </c>
      <c r="K29" s="1295">
        <f>+I29*VLOOKUP(H29,'Factores Emisión EDGE'!$K$14:$L$19,2,FALSE)/1000</f>
        <v>0.67684875</v>
      </c>
      <c r="L29" s="1296">
        <f>+I29*VLOOKUP(H29,'Factores Emisión EDGE'!$K$261:$L$266,2,FALSE)/1000</f>
        <v>3.3569999999999996E-2</v>
      </c>
    </row>
    <row r="30" spans="2:12" ht="14.25" customHeight="1">
      <c r="B30" s="1279" t="s">
        <v>928</v>
      </c>
      <c r="C30" s="1280" t="s">
        <v>1910</v>
      </c>
      <c r="D30" s="457" t="s">
        <v>1813</v>
      </c>
      <c r="E30" s="1297" t="s">
        <v>1904</v>
      </c>
      <c r="F30" s="1297" t="s">
        <v>952</v>
      </c>
      <c r="G30" s="1280" t="s">
        <v>1911</v>
      </c>
      <c r="H30" s="457" t="s">
        <v>1177</v>
      </c>
      <c r="I30" s="1281">
        <v>19</v>
      </c>
      <c r="J30" s="1282" t="s">
        <v>440</v>
      </c>
      <c r="K30" s="1283">
        <f>+I30*VLOOKUP(H30,'Factores Emisión EDGE'!$K$14:$L$19,2,FALSE)/1000</f>
        <v>4.4697278080000008E-5</v>
      </c>
      <c r="L30" s="1284">
        <f>+I30*VLOOKUP(H30,'Factores Emisión EDGE'!$K$261:$L$266,2,FALSE)/1000</f>
        <v>6.3194949999999999E-6</v>
      </c>
    </row>
    <row r="31" spans="2:12" ht="14.25" customHeight="1">
      <c r="B31" s="1285" t="s">
        <v>1912</v>
      </c>
      <c r="C31" s="457" t="s">
        <v>1913</v>
      </c>
      <c r="D31" s="457" t="s">
        <v>1813</v>
      </c>
      <c r="E31" s="469" t="s">
        <v>1914</v>
      </c>
      <c r="F31" s="469" t="s">
        <v>956</v>
      </c>
      <c r="G31" s="457" t="s">
        <v>1911</v>
      </c>
      <c r="H31" s="457" t="s">
        <v>1177</v>
      </c>
      <c r="I31" s="1286">
        <v>14</v>
      </c>
      <c r="J31" s="426" t="s">
        <v>440</v>
      </c>
      <c r="K31" s="1288">
        <f>+I31*VLOOKUP(H31,'Factores Emisión EDGE'!$K$14:$L$19,2,FALSE)/1000</f>
        <v>3.2934836480000005E-5</v>
      </c>
      <c r="L31" s="1289">
        <f>+I31*VLOOKUP(H31,'Factores Emisión EDGE'!$K$261:$L$266,2,FALSE)/1000</f>
        <v>4.656469999999999E-6</v>
      </c>
    </row>
    <row r="32" spans="2:12" ht="14.25" customHeight="1">
      <c r="B32" s="1285" t="s">
        <v>937</v>
      </c>
      <c r="C32" s="457" t="s">
        <v>1915</v>
      </c>
      <c r="D32" s="457" t="s">
        <v>1813</v>
      </c>
      <c r="E32" s="469" t="s">
        <v>1916</v>
      </c>
      <c r="F32" s="469" t="s">
        <v>956</v>
      </c>
      <c r="G32" s="457" t="s">
        <v>1911</v>
      </c>
      <c r="H32" s="457" t="s">
        <v>1177</v>
      </c>
      <c r="I32" s="1286">
        <v>5</v>
      </c>
      <c r="J32" s="426" t="s">
        <v>440</v>
      </c>
      <c r="K32" s="1288">
        <f>+I32*VLOOKUP(H32,'Factores Emisión EDGE'!$K$14:$L$19,2,FALSE)/1000</f>
        <v>1.1762441600000001E-5</v>
      </c>
      <c r="L32" s="1289">
        <f>+I32*VLOOKUP(H32,'Factores Emisión EDGE'!$K$261:$L$266,2,FALSE)/1000</f>
        <v>1.6630249999999998E-6</v>
      </c>
    </row>
    <row r="33" spans="2:12" ht="14.25" customHeight="1">
      <c r="B33" s="1285" t="s">
        <v>1912</v>
      </c>
      <c r="C33" s="457" t="s">
        <v>1917</v>
      </c>
      <c r="D33" s="469" t="s">
        <v>1918</v>
      </c>
      <c r="E33" s="469" t="s">
        <v>1849</v>
      </c>
      <c r="F33" s="469" t="s">
        <v>956</v>
      </c>
      <c r="G33" s="457" t="s">
        <v>1911</v>
      </c>
      <c r="H33" s="457" t="s">
        <v>1177</v>
      </c>
      <c r="I33" s="1286">
        <v>1700</v>
      </c>
      <c r="J33" s="426" t="s">
        <v>440</v>
      </c>
      <c r="K33" s="1288">
        <f>+I33*VLOOKUP(H33,'Factores Emisión EDGE'!$K$14:$L$19,2,FALSE)/1000</f>
        <v>3.9992301440000006E-3</v>
      </c>
      <c r="L33" s="1289">
        <f>+I33*VLOOKUP(H33,'Factores Emisión EDGE'!$K$261:$L$266,2,FALSE)/1000</f>
        <v>5.6542850000000004E-4</v>
      </c>
    </row>
    <row r="34" spans="2:12" ht="14.25" customHeight="1">
      <c r="B34" s="1285" t="s">
        <v>1912</v>
      </c>
      <c r="C34" s="457" t="s">
        <v>1919</v>
      </c>
      <c r="D34" s="469" t="s">
        <v>1918</v>
      </c>
      <c r="E34" s="469" t="s">
        <v>1849</v>
      </c>
      <c r="F34" s="469" t="s">
        <v>956</v>
      </c>
      <c r="G34" s="457" t="s">
        <v>1911</v>
      </c>
      <c r="H34" s="457" t="s">
        <v>1177</v>
      </c>
      <c r="I34" s="1286">
        <v>125</v>
      </c>
      <c r="J34" s="426" t="s">
        <v>440</v>
      </c>
      <c r="K34" s="1288">
        <f>+I34*VLOOKUP(H34,'Factores Emisión EDGE'!$K$14:$L$19,2,FALSE)/1000</f>
        <v>2.9406104000000003E-4</v>
      </c>
      <c r="L34" s="1289">
        <f>+I34*VLOOKUP(H34,'Factores Emisión EDGE'!$K$261:$L$266,2,FALSE)/1000</f>
        <v>4.1575624999999997E-5</v>
      </c>
    </row>
    <row r="35" spans="2:12" ht="14.25" customHeight="1">
      <c r="B35" s="1285" t="s">
        <v>1912</v>
      </c>
      <c r="C35" s="457" t="s">
        <v>1920</v>
      </c>
      <c r="D35" s="469" t="s">
        <v>1921</v>
      </c>
      <c r="E35" s="469" t="s">
        <v>1860</v>
      </c>
      <c r="F35" s="469" t="s">
        <v>956</v>
      </c>
      <c r="G35" s="457" t="s">
        <v>1911</v>
      </c>
      <c r="H35" s="457" t="s">
        <v>1177</v>
      </c>
      <c r="I35" s="1286">
        <v>2618</v>
      </c>
      <c r="J35" s="426" t="s">
        <v>440</v>
      </c>
      <c r="K35" s="1288">
        <f>+I35*VLOOKUP(H35,'Factores Emisión EDGE'!$K$14:$L$19,2,FALSE)/1000</f>
        <v>6.1588144217600005E-3</v>
      </c>
      <c r="L35" s="1289">
        <f>+I35*VLOOKUP(H35,'Factores Emisión EDGE'!$K$261:$L$266,2,FALSE)/1000</f>
        <v>8.7075988999999994E-4</v>
      </c>
    </row>
    <row r="36" spans="2:12" ht="14.25" customHeight="1">
      <c r="B36" s="1290" t="s">
        <v>1912</v>
      </c>
      <c r="C36" s="1291" t="s">
        <v>1042</v>
      </c>
      <c r="D36" s="469" t="s">
        <v>1921</v>
      </c>
      <c r="E36" s="469" t="s">
        <v>1860</v>
      </c>
      <c r="F36" s="469" t="s">
        <v>956</v>
      </c>
      <c r="G36" s="1291" t="s">
        <v>1911</v>
      </c>
      <c r="H36" s="457" t="s">
        <v>1177</v>
      </c>
      <c r="I36" s="1293">
        <v>6275</v>
      </c>
      <c r="J36" s="1294" t="s">
        <v>440</v>
      </c>
      <c r="K36" s="1295">
        <f>+I36*VLOOKUP(H36,'Factores Emisión EDGE'!$K$14:$L$19,2,FALSE)/1000</f>
        <v>1.4761864208000002E-2</v>
      </c>
      <c r="L36" s="1296">
        <f>+I36*VLOOKUP(H36,'Factores Emisión EDGE'!$K$261:$L$266,2,FALSE)/1000</f>
        <v>2.0870963749999999E-3</v>
      </c>
    </row>
    <row r="37" spans="2:12" ht="14.25" customHeight="1">
      <c r="B37" s="618" t="s">
        <v>567</v>
      </c>
      <c r="C37" s="618"/>
      <c r="D37" s="618"/>
      <c r="E37" s="618"/>
      <c r="F37" s="618"/>
      <c r="G37" s="450"/>
      <c r="H37" s="450"/>
      <c r="I37" s="1298">
        <f>+SUM(I14:I36)</f>
        <v>14954.9</v>
      </c>
      <c r="J37" s="1299" t="s">
        <v>87</v>
      </c>
      <c r="K37" s="1300">
        <f t="shared" ref="K37:L37" si="0">+SUM(K14:K36)</f>
        <v>11.393384229869918</v>
      </c>
      <c r="L37" s="1300">
        <f t="shared" si="0"/>
        <v>0.5674057913799998</v>
      </c>
    </row>
    <row r="38" spans="2:12" ht="14.25" customHeight="1">
      <c r="B38" s="431"/>
      <c r="C38" s="431"/>
      <c r="D38" s="431"/>
      <c r="E38" s="431"/>
      <c r="F38" s="431"/>
      <c r="G38" s="431"/>
      <c r="H38" s="431"/>
      <c r="I38" s="432"/>
      <c r="J38" s="431"/>
      <c r="K38" s="431"/>
      <c r="L38" s="431"/>
    </row>
    <row r="39" spans="2:12" ht="14.25" customHeight="1">
      <c r="B39" s="431"/>
      <c r="C39" s="431"/>
      <c r="D39" s="431"/>
      <c r="E39" s="431"/>
      <c r="F39" s="431"/>
      <c r="G39" s="431"/>
      <c r="H39" s="431"/>
      <c r="I39" s="432"/>
      <c r="J39" s="431"/>
      <c r="K39" s="431"/>
      <c r="L39" s="431"/>
    </row>
    <row r="40" spans="2:12" ht="14.25" customHeight="1">
      <c r="B40" s="431"/>
      <c r="C40" s="444"/>
      <c r="D40" s="444"/>
      <c r="E40" s="444"/>
      <c r="F40" s="444"/>
      <c r="G40" s="431"/>
      <c r="H40" s="431"/>
      <c r="I40" s="593"/>
      <c r="J40" s="431"/>
      <c r="K40" s="431"/>
      <c r="L40" s="431"/>
    </row>
    <row r="41" spans="2:12" ht="14.25" customHeight="1">
      <c r="B41" s="445"/>
      <c r="C41" s="732" t="s">
        <v>1922</v>
      </c>
      <c r="D41" s="732">
        <v>2021</v>
      </c>
      <c r="E41" s="732">
        <v>2022</v>
      </c>
      <c r="F41" s="433" t="s">
        <v>927</v>
      </c>
      <c r="G41" s="434"/>
      <c r="H41" s="431"/>
      <c r="I41" s="432"/>
      <c r="J41" s="431"/>
      <c r="K41" s="431"/>
      <c r="L41" s="431"/>
    </row>
    <row r="42" spans="2:12" ht="14.25" customHeight="1">
      <c r="B42" s="445"/>
      <c r="C42" s="1301" t="s">
        <v>453</v>
      </c>
      <c r="D42" s="1243">
        <v>1400</v>
      </c>
      <c r="E42" s="1243">
        <f>SUM(I14:I29)</f>
        <v>4198.8999999999996</v>
      </c>
      <c r="F42" s="899">
        <f t="shared" ref="F42:F43" si="1">(E42-D42)/D42</f>
        <v>1.9992142857142854</v>
      </c>
      <c r="G42" s="434"/>
      <c r="H42" s="431"/>
      <c r="I42" s="432"/>
      <c r="J42" s="431"/>
      <c r="K42" s="431"/>
      <c r="L42" s="431"/>
    </row>
    <row r="43" spans="2:12" ht="14.25" customHeight="1">
      <c r="B43" s="445"/>
      <c r="C43" s="1301" t="s">
        <v>1923</v>
      </c>
      <c r="D43" s="1243">
        <v>121</v>
      </c>
      <c r="E43" s="1243">
        <f>SUM(I30:I36)</f>
        <v>10756</v>
      </c>
      <c r="F43" s="899">
        <f t="shared" si="1"/>
        <v>87.892561983471069</v>
      </c>
      <c r="G43" s="434"/>
      <c r="H43" s="431"/>
      <c r="I43" s="432"/>
      <c r="J43" s="431"/>
      <c r="K43" s="431"/>
      <c r="L43" s="431"/>
    </row>
  </sheetData>
  <mergeCells count="2">
    <mergeCell ref="B5:J7"/>
    <mergeCell ref="B12:J12"/>
  </mergeCells>
  <dataValidations count="1">
    <dataValidation type="list" allowBlank="1" sqref="J14:J36" xr:uid="{00000000-0002-0000-1200-000000000000}">
      <formula1>"kg,ton,Lt,m3,Pesos Chilenos"</formula1>
    </dataValidation>
  </dataValidations>
  <hyperlinks>
    <hyperlink ref="B3" location="null!A1" display="CONTENIDOS" xr:uid="{00000000-0004-0000-1200-000000000000}"/>
  </hyperlinks>
  <pageMargins left="0.7" right="0.7" top="0.75" bottom="0.75" header="0" footer="0"/>
  <pageSetup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1:I19"/>
  <sheetViews>
    <sheetView workbookViewId="0"/>
  </sheetViews>
  <sheetFormatPr baseColWidth="10" defaultColWidth="12.6640625" defaultRowHeight="15" customHeight="1"/>
  <cols>
    <col min="1" max="1" width="8.6640625" customWidth="1"/>
    <col min="2" max="2" width="28" customWidth="1"/>
    <col min="3" max="3" width="38.6640625" customWidth="1"/>
    <col min="4" max="5" width="38" customWidth="1"/>
    <col min="6" max="6" width="24.6640625" customWidth="1"/>
    <col min="7" max="7" width="19.88671875" customWidth="1"/>
    <col min="8" max="8" width="15.33203125" customWidth="1"/>
    <col min="9" max="26" width="8.6640625" customWidth="1"/>
  </cols>
  <sheetData>
    <row r="1" spans="1:9" ht="14.25" customHeight="1">
      <c r="A1" s="534" t="s">
        <v>1924</v>
      </c>
      <c r="B1" s="429"/>
      <c r="C1" s="429"/>
      <c r="D1" s="429"/>
      <c r="E1" s="429"/>
      <c r="F1" s="429"/>
      <c r="G1" s="589"/>
      <c r="H1" s="429"/>
      <c r="I1" s="429"/>
    </row>
    <row r="2" spans="1:9" ht="14.25" customHeight="1">
      <c r="A2" s="431"/>
      <c r="B2" s="431"/>
      <c r="C2" s="431"/>
      <c r="D2" s="431"/>
      <c r="E2" s="431"/>
      <c r="F2" s="431"/>
      <c r="G2" s="591"/>
      <c r="H2" s="431"/>
      <c r="I2" s="431"/>
    </row>
    <row r="3" spans="1:9" ht="14.25" customHeight="1">
      <c r="A3" s="431"/>
      <c r="B3" s="1249" t="s">
        <v>1789</v>
      </c>
      <c r="C3" s="431"/>
      <c r="D3" s="431"/>
      <c r="E3" s="431"/>
      <c r="F3" s="431"/>
      <c r="G3" s="591"/>
      <c r="H3" s="431"/>
      <c r="I3" s="431"/>
    </row>
    <row r="4" spans="1:9" ht="14.25" customHeight="1">
      <c r="A4" s="431"/>
      <c r="B4" s="431"/>
      <c r="C4" s="431"/>
      <c r="D4" s="431"/>
      <c r="E4" s="431"/>
      <c r="F4" s="431"/>
      <c r="G4" s="591"/>
      <c r="H4" s="431"/>
      <c r="I4" s="431"/>
    </row>
    <row r="5" spans="1:9" ht="14.25" customHeight="1">
      <c r="A5" s="431"/>
      <c r="B5" s="1450" t="s">
        <v>1925</v>
      </c>
      <c r="C5" s="1451"/>
      <c r="D5" s="1451"/>
      <c r="E5" s="1451"/>
      <c r="F5" s="1452"/>
      <c r="G5" s="591"/>
      <c r="H5" s="431"/>
      <c r="I5" s="431"/>
    </row>
    <row r="6" spans="1:9" ht="14.25" customHeight="1">
      <c r="A6" s="431"/>
      <c r="B6" s="1453"/>
      <c r="C6" s="1454"/>
      <c r="D6" s="1454"/>
      <c r="E6" s="1454"/>
      <c r="F6" s="1455"/>
      <c r="G6" s="591"/>
      <c r="H6" s="431"/>
      <c r="I6" s="431"/>
    </row>
    <row r="7" spans="1:9" ht="14.25" customHeight="1">
      <c r="A7" s="431"/>
      <c r="B7" s="435"/>
      <c r="C7" s="435"/>
      <c r="D7" s="435"/>
      <c r="E7" s="435"/>
      <c r="F7" s="435"/>
      <c r="G7" s="591"/>
      <c r="H7" s="431"/>
      <c r="I7" s="431"/>
    </row>
    <row r="8" spans="1:9" ht="18.75" customHeight="1">
      <c r="A8" s="431"/>
      <c r="B8" s="438" t="s">
        <v>426</v>
      </c>
      <c r="C8" s="535" t="s">
        <v>582</v>
      </c>
      <c r="D8" s="536"/>
      <c r="E8" s="440"/>
      <c r="F8" s="440"/>
      <c r="G8" s="591"/>
      <c r="H8" s="431"/>
      <c r="I8" s="431"/>
    </row>
    <row r="9" spans="1:9" ht="21.75" customHeight="1">
      <c r="A9" s="431"/>
      <c r="B9" s="438" t="s">
        <v>583</v>
      </c>
      <c r="C9" s="535" t="s">
        <v>1926</v>
      </c>
      <c r="D9" s="536"/>
      <c r="E9" s="440"/>
      <c r="F9" s="440"/>
      <c r="G9" s="591"/>
      <c r="H9" s="431"/>
      <c r="I9" s="431"/>
    </row>
    <row r="10" spans="1:9" ht="21.75" customHeight="1">
      <c r="A10" s="431"/>
      <c r="B10" s="438"/>
      <c r="C10" s="535" t="s">
        <v>1927</v>
      </c>
      <c r="D10" s="536"/>
      <c r="E10" s="440"/>
      <c r="F10" s="440"/>
      <c r="G10" s="591"/>
      <c r="H10" s="431"/>
      <c r="I10" s="431"/>
    </row>
    <row r="11" spans="1:9" ht="14.25" customHeight="1">
      <c r="A11" s="431"/>
      <c r="B11" s="431"/>
      <c r="C11" s="431"/>
      <c r="D11" s="431"/>
      <c r="E11" s="431"/>
      <c r="F11" s="431"/>
      <c r="G11" s="591"/>
      <c r="H11" s="431"/>
      <c r="I11" s="431"/>
    </row>
    <row r="12" spans="1:9" ht="14.25" customHeight="1">
      <c r="A12" s="431"/>
      <c r="B12" s="1582" t="s">
        <v>1928</v>
      </c>
      <c r="C12" s="1474"/>
      <c r="D12" s="1474"/>
      <c r="E12" s="1474"/>
      <c r="F12" s="1474"/>
      <c r="G12" s="1583"/>
      <c r="H12" s="431"/>
      <c r="I12" s="431"/>
    </row>
    <row r="13" spans="1:9" ht="31.5" customHeight="1">
      <c r="A13" s="431"/>
      <c r="B13" s="451" t="s">
        <v>1929</v>
      </c>
      <c r="C13" s="451" t="s">
        <v>1930</v>
      </c>
      <c r="D13" s="451" t="s">
        <v>1827</v>
      </c>
      <c r="E13" s="451" t="s">
        <v>1931</v>
      </c>
      <c r="F13" s="451" t="s">
        <v>1932</v>
      </c>
      <c r="G13" s="451" t="s">
        <v>1933</v>
      </c>
      <c r="H13" s="1302" t="s">
        <v>380</v>
      </c>
      <c r="I13" s="1303" t="s">
        <v>437</v>
      </c>
    </row>
    <row r="14" spans="1:9" ht="16.5" customHeight="1">
      <c r="A14" s="1145" t="s">
        <v>1934</v>
      </c>
      <c r="B14" s="746" t="s">
        <v>1355</v>
      </c>
      <c r="C14" s="789" t="s">
        <v>1935</v>
      </c>
      <c r="D14" s="746" t="s">
        <v>1936</v>
      </c>
      <c r="E14" s="1304">
        <v>23</v>
      </c>
      <c r="F14" s="746" t="s">
        <v>1937</v>
      </c>
      <c r="G14" s="1305" t="e">
        <v>#REF!</v>
      </c>
      <c r="H14" s="490" t="e">
        <f t="shared" ref="H14:H16" si="0">+G14*E14</f>
        <v>#REF!</v>
      </c>
      <c r="I14" s="890" t="e">
        <f>+H14*'Factores Emisión EDGE'!$L$236/1000</f>
        <v>#REF!</v>
      </c>
    </row>
    <row r="15" spans="1:9" ht="16.5" customHeight="1">
      <c r="A15" s="431" t="s">
        <v>1934</v>
      </c>
      <c r="B15" s="457" t="s">
        <v>1938</v>
      </c>
      <c r="C15" s="789" t="s">
        <v>1935</v>
      </c>
      <c r="D15" s="457" t="s">
        <v>1936</v>
      </c>
      <c r="E15" s="457">
        <v>23</v>
      </c>
      <c r="F15" s="746" t="s">
        <v>1937</v>
      </c>
      <c r="G15" s="1306" t="e">
        <v>#REF!</v>
      </c>
      <c r="H15" s="490" t="e">
        <f t="shared" si="0"/>
        <v>#REF!</v>
      </c>
      <c r="I15" s="890" t="e">
        <f>+H15*'Factores Emisión EDGE'!$L$236/1000</f>
        <v>#REF!</v>
      </c>
    </row>
    <row r="16" spans="1:9" ht="16.5" customHeight="1">
      <c r="A16" s="431" t="s">
        <v>1939</v>
      </c>
      <c r="B16" s="457" t="s">
        <v>1360</v>
      </c>
      <c r="C16" s="1307" t="s">
        <v>1940</v>
      </c>
      <c r="D16" s="457" t="s">
        <v>1936</v>
      </c>
      <c r="E16" s="1304">
        <v>32</v>
      </c>
      <c r="F16" s="746" t="s">
        <v>1937</v>
      </c>
      <c r="G16" s="1306" t="e">
        <f>+#REF!</f>
        <v>#REF!</v>
      </c>
      <c r="H16" s="490" t="e">
        <f t="shared" si="0"/>
        <v>#REF!</v>
      </c>
      <c r="I16" s="890" t="e">
        <f>+H16*'Factores Emisión EDGE'!$L$236/1000</f>
        <v>#REF!</v>
      </c>
    </row>
    <row r="19" spans="2:9" ht="14.25" customHeight="1">
      <c r="B19" s="1267" t="s">
        <v>567</v>
      </c>
      <c r="C19" s="431"/>
      <c r="D19" s="431"/>
      <c r="E19" s="431"/>
      <c r="F19" s="431"/>
      <c r="G19" s="591"/>
      <c r="H19" s="1308" t="s">
        <v>87</v>
      </c>
      <c r="I19" s="1309" t="e">
        <f>+SUM(I14:I18)</f>
        <v>#REF!</v>
      </c>
    </row>
  </sheetData>
  <autoFilter ref="B13:F18" xr:uid="{00000000-0009-0000-0000-000013000000}"/>
  <mergeCells count="2">
    <mergeCell ref="B5:F6"/>
    <mergeCell ref="B12:G12"/>
  </mergeCells>
  <hyperlinks>
    <hyperlink ref="B3" location="null!A1" display="CONTENIDOS" xr:uid="{00000000-0004-0000-1300-000000000000}"/>
  </hyperlinks>
  <pageMargins left="0.7" right="0.7" top="0.75" bottom="0.75" header="0" footer="0"/>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Q582"/>
  <sheetViews>
    <sheetView workbookViewId="0">
      <pane ySplit="1" topLeftCell="A2" activePane="bottomLeft" state="frozen"/>
      <selection pane="bottomLeft" activeCell="B5" sqref="B5"/>
    </sheetView>
  </sheetViews>
  <sheetFormatPr baseColWidth="10" defaultColWidth="12.6640625" defaultRowHeight="13.2"/>
  <cols>
    <col min="1" max="1" width="17.109375" bestFit="1" customWidth="1"/>
    <col min="2" max="2" width="38.44140625" bestFit="1" customWidth="1"/>
    <col min="3" max="3" width="53.109375" bestFit="1" customWidth="1"/>
    <col min="4" max="4" width="36.21875" bestFit="1" customWidth="1"/>
    <col min="5" max="5" width="156.33203125" bestFit="1" customWidth="1"/>
    <col min="6" max="6" width="15" bestFit="1" customWidth="1"/>
    <col min="7" max="7" width="74.77734375" bestFit="1" customWidth="1"/>
    <col min="8" max="8" width="11.77734375" bestFit="1" customWidth="1"/>
    <col min="9" max="9" width="5" bestFit="1" customWidth="1"/>
    <col min="10" max="10" width="18.33203125" bestFit="1" customWidth="1"/>
    <col min="11" max="12" width="11.77734375" bestFit="1" customWidth="1"/>
    <col min="13" max="14" width="18.88671875" customWidth="1"/>
    <col min="15" max="15" width="6.6640625" bestFit="1" customWidth="1"/>
    <col min="16" max="16" width="21.33203125" bestFit="1" customWidth="1"/>
    <col min="17" max="17" width="156.33203125" bestFit="1" customWidth="1"/>
  </cols>
  <sheetData>
    <row r="1" spans="1:17">
      <c r="A1" s="1310" t="s">
        <v>1941</v>
      </c>
      <c r="B1" s="1310" t="s">
        <v>1942</v>
      </c>
      <c r="C1" s="1310" t="s">
        <v>1943</v>
      </c>
      <c r="D1" s="1310" t="s">
        <v>1944</v>
      </c>
      <c r="E1" s="1310" t="s">
        <v>1945</v>
      </c>
      <c r="F1" s="1310" t="s">
        <v>1946</v>
      </c>
      <c r="G1" s="1310" t="s">
        <v>1947</v>
      </c>
      <c r="H1" s="1310"/>
      <c r="I1" s="1310"/>
      <c r="J1" s="1311" t="s">
        <v>1948</v>
      </c>
      <c r="K1" s="1312" t="s">
        <v>1949</v>
      </c>
      <c r="L1" s="1313" t="s">
        <v>551</v>
      </c>
      <c r="M1" s="1312"/>
      <c r="N1" s="1312"/>
      <c r="O1" s="1312"/>
      <c r="P1" s="1312"/>
      <c r="Q1" s="1312"/>
    </row>
    <row r="2" spans="1:17">
      <c r="A2" s="1314">
        <v>44649.428597812497</v>
      </c>
      <c r="B2" s="1310" t="s">
        <v>1950</v>
      </c>
      <c r="C2" s="1310">
        <v>158472317</v>
      </c>
      <c r="D2" s="1310" t="s">
        <v>1951</v>
      </c>
      <c r="E2" s="1310" t="s">
        <v>872</v>
      </c>
      <c r="F2" s="1310" t="e">
        <f t="array" aca="1" ref="F2" ca="1">+_xludf.IFS(E2="50% teletrabajo",0.5, E2="25% teletrabajo",0.75,E2="75% teletrabajo",0.25,E2="100% teletrabajo",0,E2="100% trabajo presencial",1)</f>
        <v>#NAME?</v>
      </c>
      <c r="G2" s="1310" t="s">
        <v>1952</v>
      </c>
      <c r="H2" s="1310" t="e">
        <f t="array" aca="1" ref="H2" ca="1">+_xludf.IFS(G2="Vehículo - Uso individual","Auto",G2="Vehículo - Uso compartido","Auto",G2="Transporte público","Bus",G2="Moto","Moto",G2="Bicicleta o caminando","Bicicleta")</f>
        <v>#NAME?</v>
      </c>
      <c r="I2" s="1310">
        <v>1</v>
      </c>
      <c r="J2" s="1310">
        <v>20</v>
      </c>
      <c r="K2" s="1312" t="e">
        <f t="shared" ref="K2:K51" ca="1" si="0">+J2*5*50*2*F2</f>
        <v>#NAME?</v>
      </c>
      <c r="L2" s="1315" t="e">
        <f ca="1">+K2*I2*VLOOKUP(H2,'Factores Emisión EDGE'!$K$267:$L$272,2,FALSE)/1000</f>
        <v>#NAME?</v>
      </c>
      <c r="M2" s="1312"/>
      <c r="N2" s="1312"/>
      <c r="O2" s="1312"/>
      <c r="P2" s="1312"/>
      <c r="Q2" s="1312"/>
    </row>
    <row r="3" spans="1:17">
      <c r="A3" s="1314">
        <v>44650.376988414355</v>
      </c>
      <c r="B3" s="1310" t="s">
        <v>1953</v>
      </c>
      <c r="C3" s="1310" t="s">
        <v>1954</v>
      </c>
      <c r="D3" s="1310" t="s">
        <v>1951</v>
      </c>
      <c r="E3" s="1310" t="s">
        <v>1955</v>
      </c>
      <c r="F3" s="1310" t="e">
        <f t="array" aca="1" ref="F3" ca="1">+_xludf.IFS(E3="50% teletrabajo",0.5, E3="25% teletrabajo",0.75,E3="75% teletrabajo",0.25,E3="100% teletrabajo",0,E3="100% trabajo presencial",1)</f>
        <v>#NAME?</v>
      </c>
      <c r="G3" s="1310" t="s">
        <v>1952</v>
      </c>
      <c r="H3" s="1310" t="e">
        <f t="array" aca="1" ref="H3" ca="1">+_xludf.IFS(G3="Vehículo - Uso individual","Auto",G3="Vehículo - Uso compartido","Auto",G3="Transporte público","Bus",G3="Moto","Moto",G3="Bicicleta o caminando","Bicicleta")</f>
        <v>#NAME?</v>
      </c>
      <c r="I3" s="1310">
        <v>1</v>
      </c>
      <c r="J3" s="1310">
        <v>30</v>
      </c>
      <c r="K3" s="1312" t="e">
        <f t="shared" ca="1" si="0"/>
        <v>#NAME?</v>
      </c>
      <c r="L3" s="1315" t="e">
        <f ca="1">+K3*I3*VLOOKUP(H3,'Factores Emisión EDGE'!$K$267:$L$272,2,FALSE)/1000</f>
        <v>#NAME?</v>
      </c>
      <c r="M3" s="1312"/>
      <c r="N3" s="1312"/>
      <c r="O3" s="1312"/>
      <c r="P3" s="1312"/>
      <c r="Q3" s="1312"/>
    </row>
    <row r="4" spans="1:17">
      <c r="A4" s="1314">
        <v>44650.377313159726</v>
      </c>
      <c r="B4" s="1310" t="s">
        <v>1956</v>
      </c>
      <c r="C4" s="1310" t="s">
        <v>1957</v>
      </c>
      <c r="D4" s="1310" t="s">
        <v>1951</v>
      </c>
      <c r="E4" s="1310" t="s">
        <v>868</v>
      </c>
      <c r="F4" s="1310" t="e">
        <f t="array" aca="1" ref="F4" ca="1">+_xludf.IFS(E4="50% teletrabajo",0.5, E4="25% teletrabajo",0.75,E4="75% teletrabajo",0.25,E4="100% teletrabajo",0,E4="100% trabajo presencial",1)</f>
        <v>#NAME?</v>
      </c>
      <c r="G4" s="1310" t="s">
        <v>1952</v>
      </c>
      <c r="H4" s="1310" t="e">
        <f t="array" aca="1" ref="H4" ca="1">+_xludf.IFS(G4="Vehículo - Uso individual","Auto",G4="Vehículo - Uso compartido","Auto",G4="Transporte público","Bus",G4="Moto","Moto",G4="Bicicleta o caminando","Bicicleta")</f>
        <v>#NAME?</v>
      </c>
      <c r="I4" s="1310">
        <v>1</v>
      </c>
      <c r="J4" s="1310">
        <v>10</v>
      </c>
      <c r="K4" s="1312" t="e">
        <f t="shared" ca="1" si="0"/>
        <v>#NAME?</v>
      </c>
      <c r="L4" s="1315" t="e">
        <f ca="1">+K4*I4*VLOOKUP(H4,'Factores Emisión EDGE'!$K$267:$L$272,2,FALSE)/1000</f>
        <v>#NAME?</v>
      </c>
      <c r="M4" s="1312"/>
      <c r="N4" s="1312"/>
      <c r="O4" s="1312"/>
      <c r="P4" s="1316" t="s">
        <v>872</v>
      </c>
      <c r="Q4" s="1316">
        <v>0.5</v>
      </c>
    </row>
    <row r="5" spans="1:17">
      <c r="A5" s="1314">
        <v>44650.377511909726</v>
      </c>
      <c r="B5" s="1310" t="s">
        <v>1958</v>
      </c>
      <c r="C5" s="1310" t="s">
        <v>1959</v>
      </c>
      <c r="D5" s="1310" t="s">
        <v>1951</v>
      </c>
      <c r="E5" s="1310" t="s">
        <v>1960</v>
      </c>
      <c r="F5" s="1310" t="e">
        <f t="array" aca="1" ref="F5" ca="1">+_xludf.IFS(E5="50% teletrabajo",0.5, E5="25% teletrabajo",0.75,E5="75% teletrabajo",0.25,E5="100% teletrabajo",0,E5="100% trabajo presencial",1)</f>
        <v>#NAME?</v>
      </c>
      <c r="G5" s="1310" t="s">
        <v>1952</v>
      </c>
      <c r="H5" s="1310" t="e">
        <f t="array" aca="1" ref="H5" ca="1">+_xludf.IFS(G5="Vehículo - Uso individual","Auto",G5="Vehículo - Uso compartido","Auto",G5="Transporte público","Bus",G5="Moto","Moto",G5="Bicicleta o caminando","Bicicleta")</f>
        <v>#NAME?</v>
      </c>
      <c r="I5" s="1310">
        <v>1</v>
      </c>
      <c r="J5" s="1310">
        <v>0</v>
      </c>
      <c r="K5" s="1312" t="e">
        <f t="shared" ca="1" si="0"/>
        <v>#NAME?</v>
      </c>
      <c r="L5" s="1315" t="e">
        <f ca="1">+K5*I5*VLOOKUP(H5,'Factores Emisión EDGE'!$K$267:$L$272,2,FALSE)/1000</f>
        <v>#NAME?</v>
      </c>
      <c r="M5" s="1312"/>
      <c r="N5" s="1312"/>
      <c r="O5" s="1312"/>
      <c r="P5" s="1316" t="s">
        <v>1961</v>
      </c>
      <c r="Q5" s="1316">
        <v>0.75</v>
      </c>
    </row>
    <row r="6" spans="1:17">
      <c r="A6" s="1314">
        <v>44650.377536967593</v>
      </c>
      <c r="B6" s="1310" t="s">
        <v>1962</v>
      </c>
      <c r="C6" s="1310" t="s">
        <v>1963</v>
      </c>
      <c r="D6" s="1310" t="s">
        <v>1951</v>
      </c>
      <c r="E6" s="1310" t="s">
        <v>1960</v>
      </c>
      <c r="F6" s="1310" t="e">
        <f t="array" aca="1" ref="F6" ca="1">+_xludf.IFS(E6="50% teletrabajo",0.5, E6="25% teletrabajo",0.75,E6="75% teletrabajo",0.25,E6="100% teletrabajo",0,E6="100% trabajo presencial",1)</f>
        <v>#NAME?</v>
      </c>
      <c r="G6" s="1310" t="s">
        <v>1964</v>
      </c>
      <c r="H6" s="1310" t="e">
        <f t="array" aca="1" ref="H6" ca="1">+_xludf.IFS(G6="Vehículo - Uso individual","Auto",G6="Vehículo - Uso compartido","Auto",G6="Transporte público","Bus",G6="Moto","Moto",G6="Bicicleta o caminando","Bicicleta")</f>
        <v>#NAME?</v>
      </c>
      <c r="I6" s="1310">
        <v>1</v>
      </c>
      <c r="J6" s="1310">
        <v>0</v>
      </c>
      <c r="K6" s="1312" t="e">
        <f t="shared" ca="1" si="0"/>
        <v>#NAME?</v>
      </c>
      <c r="L6" s="1315" t="e">
        <f ca="1">+K6*I6*VLOOKUP(H6,'Factores Emisión EDGE'!$K$267:$L$272,2,FALSE)/1000</f>
        <v>#NAME?</v>
      </c>
      <c r="M6" s="1312"/>
      <c r="N6" s="1312"/>
      <c r="O6" s="1312"/>
      <c r="P6" s="1316" t="s">
        <v>1965</v>
      </c>
      <c r="Q6" s="1316">
        <v>0.25</v>
      </c>
    </row>
    <row r="7" spans="1:17">
      <c r="A7" s="1314">
        <v>44650.377624895831</v>
      </c>
      <c r="B7" s="1310" t="s">
        <v>1966</v>
      </c>
      <c r="C7" s="1310" t="s">
        <v>1967</v>
      </c>
      <c r="D7" s="1310" t="s">
        <v>1951</v>
      </c>
      <c r="E7" s="1310" t="s">
        <v>1960</v>
      </c>
      <c r="F7" s="1310" t="e">
        <f t="array" aca="1" ref="F7" ca="1">+_xludf.IFS(E7="50% teletrabajo",0.5, E7="25% teletrabajo",0.75,E7="75% teletrabajo",0.25,E7="100% teletrabajo",0,E7="100% trabajo presencial",1)</f>
        <v>#NAME?</v>
      </c>
      <c r="G7" s="1310" t="s">
        <v>1952</v>
      </c>
      <c r="H7" s="1310" t="e">
        <f t="array" aca="1" ref="H7" ca="1">+_xludf.IFS(G7="Vehículo - Uso individual","Auto",G7="Vehículo - Uso compartido","Auto",G7="Transporte público","Bus",G7="Moto","Moto",G7="Bicicleta o caminando","Bicicleta")</f>
        <v>#NAME?</v>
      </c>
      <c r="I7" s="1310">
        <v>1</v>
      </c>
      <c r="J7" s="1310">
        <v>1</v>
      </c>
      <c r="K7" s="1312" t="e">
        <f t="shared" ca="1" si="0"/>
        <v>#NAME?</v>
      </c>
      <c r="L7" s="1315" t="e">
        <f ca="1">+K7*I7*VLOOKUP(H7,'Factores Emisión EDGE'!$K$267:$L$272,2,FALSE)/1000</f>
        <v>#NAME?</v>
      </c>
      <c r="M7" s="1312"/>
      <c r="N7" s="1312"/>
      <c r="O7" s="1312"/>
      <c r="P7" s="1316" t="s">
        <v>1960</v>
      </c>
      <c r="Q7" s="1316">
        <v>0</v>
      </c>
    </row>
    <row r="8" spans="1:17">
      <c r="A8" s="1314">
        <v>44650.377665138891</v>
      </c>
      <c r="B8" s="1310" t="s">
        <v>1968</v>
      </c>
      <c r="C8" s="1312"/>
      <c r="D8" s="1310" t="s">
        <v>1951</v>
      </c>
      <c r="E8" s="1310" t="s">
        <v>868</v>
      </c>
      <c r="F8" s="1310" t="e">
        <f t="array" aca="1" ref="F8" ca="1">+_xludf.IFS(E8="50% teletrabajo",0.5, E8="25% teletrabajo",0.75,E8="75% teletrabajo",0.25,E8="100% teletrabajo",0,E8="100% trabajo presencial",1)</f>
        <v>#NAME?</v>
      </c>
      <c r="G8" s="1310" t="s">
        <v>1952</v>
      </c>
      <c r="H8" s="1310" t="e">
        <f t="array" aca="1" ref="H8" ca="1">+_xludf.IFS(G8="Vehículo - Uso individual","Auto",G8="Vehículo - Uso compartido","Auto",G8="Transporte público","Bus",G8="Moto","Moto",G8="Bicicleta o caminando","Bicicleta")</f>
        <v>#NAME?</v>
      </c>
      <c r="I8" s="1310">
        <v>1</v>
      </c>
      <c r="J8" s="1310">
        <v>7</v>
      </c>
      <c r="K8" s="1312" t="e">
        <f t="shared" ca="1" si="0"/>
        <v>#NAME?</v>
      </c>
      <c r="L8" s="1315" t="e">
        <f ca="1">+K8*I8*VLOOKUP(H8,'Factores Emisión EDGE'!$K$267:$L$272,2,FALSE)/1000</f>
        <v>#NAME?</v>
      </c>
      <c r="M8" s="1312"/>
      <c r="N8" s="1312"/>
      <c r="O8" s="1312"/>
      <c r="P8" s="1316" t="s">
        <v>868</v>
      </c>
      <c r="Q8" s="1316">
        <v>1</v>
      </c>
    </row>
    <row r="9" spans="1:17">
      <c r="A9" s="1314">
        <v>44650.377902893517</v>
      </c>
      <c r="B9" s="1310" t="s">
        <v>1969</v>
      </c>
      <c r="C9" s="1310" t="s">
        <v>1970</v>
      </c>
      <c r="D9" s="1310" t="s">
        <v>1951</v>
      </c>
      <c r="E9" s="1310" t="s">
        <v>872</v>
      </c>
      <c r="F9" s="1310" t="e">
        <f t="array" aca="1" ref="F9" ca="1">+_xludf.IFS(E9="50% teletrabajo",0.5, E9="25% teletrabajo",0.75,E9="75% teletrabajo",0.25,E9="100% teletrabajo",0,E9="100% trabajo presencial",1)</f>
        <v>#NAME?</v>
      </c>
      <c r="G9" s="1310" t="s">
        <v>1964</v>
      </c>
      <c r="H9" s="1310" t="e">
        <f t="array" aca="1" ref="H9" ca="1">+_xludf.IFS(G9="Vehículo - Uso individual","Auto",G9="Vehículo - Uso compartido","Auto",G9="Transporte público","Bus",G9="Moto","Moto",G9="Bicicleta o caminando","Bicicleta")</f>
        <v>#NAME?</v>
      </c>
      <c r="I9" s="1310">
        <v>1</v>
      </c>
      <c r="J9" s="1310">
        <v>19</v>
      </c>
      <c r="K9" s="1312" t="e">
        <f t="shared" ca="1" si="0"/>
        <v>#NAME?</v>
      </c>
      <c r="L9" s="1315" t="e">
        <f ca="1">+K9*I9*VLOOKUP(H9,'Factores Emisión EDGE'!$K$267:$L$272,2,FALSE)/1000</f>
        <v>#NAME?</v>
      </c>
      <c r="M9" s="1312"/>
      <c r="N9" s="1312"/>
      <c r="O9" s="1312"/>
      <c r="P9" s="1312"/>
      <c r="Q9" s="1312"/>
    </row>
    <row r="10" spans="1:17">
      <c r="A10" s="1314">
        <v>44650.378126979165</v>
      </c>
      <c r="B10" s="1310" t="s">
        <v>1971</v>
      </c>
      <c r="C10" s="1310" t="s">
        <v>1972</v>
      </c>
      <c r="D10" s="1310" t="s">
        <v>1951</v>
      </c>
      <c r="E10" s="1310" t="s">
        <v>1960</v>
      </c>
      <c r="F10" s="1310" t="e">
        <f t="array" aca="1" ref="F10" ca="1">+_xludf.IFS(E10="50% teletrabajo",0.5, E10="25% teletrabajo",0.75,E10="75% teletrabajo",0.25,E10="100% teletrabajo",0,E10="100% trabajo presencial",1)</f>
        <v>#NAME?</v>
      </c>
      <c r="G10" s="1310" t="s">
        <v>1952</v>
      </c>
      <c r="H10" s="1310" t="e">
        <f t="array" aca="1" ref="H10" ca="1">+_xludf.IFS(G10="Vehículo - Uso individual","Auto",G10="Vehículo - Uso compartido","Auto",G10="Transporte público","Bus",G10="Moto","Moto",G10="Bicicleta o caminando","Bicicleta")</f>
        <v>#NAME?</v>
      </c>
      <c r="I10" s="1310">
        <v>1</v>
      </c>
      <c r="J10" s="1310">
        <v>10</v>
      </c>
      <c r="K10" s="1312" t="e">
        <f t="shared" ca="1" si="0"/>
        <v>#NAME?</v>
      </c>
      <c r="L10" s="1315" t="e">
        <f ca="1">+K10*I10*VLOOKUP(H10,'Factores Emisión EDGE'!$K$267:$L$272,2,FALSE)/1000</f>
        <v>#NAME?</v>
      </c>
      <c r="M10" s="1312"/>
      <c r="N10" s="1312"/>
      <c r="O10" s="1312"/>
      <c r="P10" s="1312"/>
      <c r="Q10" s="1312"/>
    </row>
    <row r="11" spans="1:17">
      <c r="A11" s="1314">
        <v>44650.378264861109</v>
      </c>
      <c r="B11" s="1310" t="s">
        <v>1973</v>
      </c>
      <c r="C11" s="1310" t="s">
        <v>1974</v>
      </c>
      <c r="D11" s="1310" t="s">
        <v>1951</v>
      </c>
      <c r="E11" s="1310" t="s">
        <v>868</v>
      </c>
      <c r="F11" s="1310" t="e">
        <f t="array" aca="1" ref="F11" ca="1">+_xludf.IFS(E11="50% teletrabajo",0.5, E11="25% teletrabajo",0.75,E11="75% teletrabajo",0.25,E11="100% teletrabajo",0,E11="100% trabajo presencial",1)</f>
        <v>#NAME?</v>
      </c>
      <c r="G11" s="1310" t="s">
        <v>1952</v>
      </c>
      <c r="H11" s="1310" t="e">
        <f t="array" aca="1" ref="H11" ca="1">+_xludf.IFS(G11="Vehículo - Uso individual","Auto",G11="Vehículo - Uso compartido","Auto",G11="Transporte público","Bus",G11="Moto","Moto",G11="Bicicleta o caminando","Bicicleta")</f>
        <v>#NAME?</v>
      </c>
      <c r="I11" s="1310">
        <v>1</v>
      </c>
      <c r="J11" s="1310">
        <v>12</v>
      </c>
      <c r="K11" s="1312" t="e">
        <f t="shared" ca="1" si="0"/>
        <v>#NAME?</v>
      </c>
      <c r="L11" s="1315" t="e">
        <f ca="1">+K11*I11*VLOOKUP(H11,'Factores Emisión EDGE'!$K$267:$L$272,2,FALSE)/1000</f>
        <v>#NAME?</v>
      </c>
      <c r="M11" s="1312"/>
      <c r="N11" s="1312"/>
      <c r="O11" s="1312"/>
      <c r="P11" s="1316" t="s">
        <v>1975</v>
      </c>
      <c r="Q11" s="1316" t="s">
        <v>855</v>
      </c>
    </row>
    <row r="12" spans="1:17">
      <c r="A12" s="1314">
        <v>44650.378350717598</v>
      </c>
      <c r="B12" s="1310" t="s">
        <v>1976</v>
      </c>
      <c r="C12" s="1310" t="s">
        <v>1977</v>
      </c>
      <c r="D12" s="1310" t="s">
        <v>1951</v>
      </c>
      <c r="E12" s="1310" t="s">
        <v>1965</v>
      </c>
      <c r="F12" s="1310" t="e">
        <f t="array" aca="1" ref="F12" ca="1">+_xludf.IFS(E12="50% teletrabajo",0.5, E12="25% teletrabajo",0.75,E12="75% teletrabajo",0.25,E12="100% teletrabajo",0,E12="100% trabajo presencial",1)</f>
        <v>#NAME?</v>
      </c>
      <c r="G12" s="1310" t="s">
        <v>1952</v>
      </c>
      <c r="H12" s="1310" t="e">
        <f t="array" aca="1" ref="H12" ca="1">+_xludf.IFS(G12="Vehículo - Uso individual","Auto",G12="Vehículo - Uso compartido","Auto",G12="Transporte público","Bus",G12="Moto","Moto",G12="Bicicleta o caminando","Bicicleta")</f>
        <v>#NAME?</v>
      </c>
      <c r="I12" s="1310">
        <v>1</v>
      </c>
      <c r="J12" s="1310">
        <v>30</v>
      </c>
      <c r="K12" s="1312" t="e">
        <f t="shared" ca="1" si="0"/>
        <v>#NAME?</v>
      </c>
      <c r="L12" s="1315" t="e">
        <f ca="1">+K12*I12*VLOOKUP(H12,'Factores Emisión EDGE'!$K$267:$L$272,2,FALSE)/1000</f>
        <v>#NAME?</v>
      </c>
      <c r="M12" s="1312"/>
      <c r="N12" s="1312"/>
      <c r="O12" s="1312"/>
      <c r="P12" s="1316" t="s">
        <v>1978</v>
      </c>
      <c r="Q12" s="1316" t="s">
        <v>855</v>
      </c>
    </row>
    <row r="13" spans="1:17">
      <c r="A13" s="1314">
        <v>44650.378423530092</v>
      </c>
      <c r="B13" s="1310" t="s">
        <v>1979</v>
      </c>
      <c r="C13" s="1310" t="s">
        <v>1980</v>
      </c>
      <c r="D13" s="1310" t="s">
        <v>1951</v>
      </c>
      <c r="E13" s="1310" t="s">
        <v>868</v>
      </c>
      <c r="F13" s="1310" t="e">
        <f t="array" aca="1" ref="F13" ca="1">+_xludf.IFS(E13="50% teletrabajo",0.5, E13="25% teletrabajo",0.75,E13="75% teletrabajo",0.25,E13="100% teletrabajo",0,E13="100% trabajo presencial",1)</f>
        <v>#NAME?</v>
      </c>
      <c r="G13" s="1310" t="s">
        <v>1952</v>
      </c>
      <c r="H13" s="1310" t="e">
        <f t="array" aca="1" ref="H13" ca="1">+_xludf.IFS(G13="Vehículo - Uso individual","Auto",G13="Vehículo - Uso compartido","Auto",G13="Transporte público","Bus",G13="Moto","Moto",G13="Bicicleta o caminando","Bicicleta")</f>
        <v>#NAME?</v>
      </c>
      <c r="I13" s="1310">
        <v>1</v>
      </c>
      <c r="J13" s="1310">
        <v>17</v>
      </c>
      <c r="K13" s="1312" t="e">
        <f t="shared" ca="1" si="0"/>
        <v>#NAME?</v>
      </c>
      <c r="L13" s="1315" t="e">
        <f ca="1">+K13*I13*VLOOKUP(H13,'Factores Emisión EDGE'!$K$267:$L$272,2,FALSE)/1000</f>
        <v>#NAME?</v>
      </c>
      <c r="M13" s="1312"/>
      <c r="N13" s="1312"/>
      <c r="O13" s="1312"/>
      <c r="P13" s="1316" t="s">
        <v>1964</v>
      </c>
      <c r="Q13" s="1316" t="s">
        <v>857</v>
      </c>
    </row>
    <row r="14" spans="1:17">
      <c r="A14" s="1314">
        <v>44650.378617696755</v>
      </c>
      <c r="B14" s="1310" t="s">
        <v>1981</v>
      </c>
      <c r="C14" s="1310" t="s">
        <v>1982</v>
      </c>
      <c r="D14" s="1310" t="s">
        <v>1951</v>
      </c>
      <c r="E14" s="1310" t="s">
        <v>872</v>
      </c>
      <c r="F14" s="1310" t="e">
        <f t="array" aca="1" ref="F14" ca="1">+_xludf.IFS(E14="50% teletrabajo",0.5, E14="25% teletrabajo",0.75,E14="75% teletrabajo",0.25,E14="100% teletrabajo",0,E14="100% trabajo presencial",1)</f>
        <v>#NAME?</v>
      </c>
      <c r="G14" s="1310" t="s">
        <v>1952</v>
      </c>
      <c r="H14" s="1310" t="e">
        <f t="array" aca="1" ref="H14" ca="1">+_xludf.IFS(G14="Vehículo - Uso individual","Auto",G14="Vehículo - Uso compartido","Auto",G14="Transporte público","Bus",G14="Moto","Moto",G14="Bicicleta o caminando","Bicicleta")</f>
        <v>#NAME?</v>
      </c>
      <c r="I14" s="1310">
        <v>1</v>
      </c>
      <c r="J14" s="1310">
        <v>25</v>
      </c>
      <c r="K14" s="1312" t="e">
        <f t="shared" ca="1" si="0"/>
        <v>#NAME?</v>
      </c>
      <c r="L14" s="1315" t="e">
        <f ca="1">+K14*I14*VLOOKUP(H14,'Factores Emisión EDGE'!$K$267:$L$272,2,FALSE)/1000</f>
        <v>#NAME?</v>
      </c>
      <c r="M14" s="1312"/>
      <c r="N14" s="1312"/>
      <c r="O14" s="1312"/>
      <c r="P14" s="1316" t="s">
        <v>1983</v>
      </c>
      <c r="Q14" s="1316" t="s">
        <v>861</v>
      </c>
    </row>
    <row r="15" spans="1:17">
      <c r="A15" s="1314">
        <v>44650.378648923608</v>
      </c>
      <c r="B15" s="1310" t="s">
        <v>1984</v>
      </c>
      <c r="C15" s="1310" t="s">
        <v>1985</v>
      </c>
      <c r="D15" s="1310" t="s">
        <v>1951</v>
      </c>
      <c r="E15" s="1310" t="s">
        <v>868</v>
      </c>
      <c r="F15" s="1310" t="e">
        <f t="array" aca="1" ref="F15" ca="1">+_xludf.IFS(E15="50% teletrabajo",0.5, E15="25% teletrabajo",0.75,E15="75% teletrabajo",0.25,E15="100% teletrabajo",0,E15="100% trabajo presencial",1)</f>
        <v>#NAME?</v>
      </c>
      <c r="G15" s="1310" t="s">
        <v>1964</v>
      </c>
      <c r="H15" s="1310" t="e">
        <f t="array" aca="1" ref="H15" ca="1">+_xludf.IFS(G15="Vehículo - Uso individual","Auto",G15="Vehículo - Uso compartido","Auto",G15="Transporte público","Bus",G15="Moto","Moto",G15="Bicicleta o caminando","Bicicleta")</f>
        <v>#NAME?</v>
      </c>
      <c r="I15" s="1310">
        <v>1</v>
      </c>
      <c r="J15" s="1310">
        <v>15</v>
      </c>
      <c r="K15" s="1312" t="e">
        <f t="shared" ca="1" si="0"/>
        <v>#NAME?</v>
      </c>
      <c r="L15" s="1315" t="e">
        <f ca="1">+K15*I15*VLOOKUP(H15,'Factores Emisión EDGE'!$K$267:$L$272,2,FALSE)/1000</f>
        <v>#NAME?</v>
      </c>
      <c r="M15" s="1312"/>
      <c r="N15" s="1312"/>
      <c r="O15" s="1312"/>
      <c r="P15" s="1316" t="s">
        <v>863</v>
      </c>
      <c r="Q15" s="1316"/>
    </row>
    <row r="16" spans="1:17">
      <c r="A16" s="1314">
        <v>44650.378682245369</v>
      </c>
      <c r="B16" s="1310" t="s">
        <v>1986</v>
      </c>
      <c r="C16" s="1310" t="s">
        <v>1987</v>
      </c>
      <c r="D16" s="1310" t="s">
        <v>1951</v>
      </c>
      <c r="E16" s="1310" t="s">
        <v>1965</v>
      </c>
      <c r="F16" s="1310" t="e">
        <f t="array" aca="1" ref="F16" ca="1">+_xludf.IFS(E16="50% teletrabajo",0.5, E16="25% teletrabajo",0.75,E16="75% teletrabajo",0.25,E16="100% teletrabajo",0,E16="100% trabajo presencial",1)</f>
        <v>#NAME?</v>
      </c>
      <c r="G16" s="1310" t="s">
        <v>1952</v>
      </c>
      <c r="H16" s="1310" t="e">
        <f t="array" aca="1" ref="H16" ca="1">+_xludf.IFS(G16="Vehículo - Uso individual","Auto",G16="Vehículo - Uso compartido","Auto",G16="Transporte público","Bus",G16="Moto","Moto",G16="Bicicleta o caminando","Bicicleta")</f>
        <v>#NAME?</v>
      </c>
      <c r="I16" s="1310">
        <v>1</v>
      </c>
      <c r="J16" s="1310">
        <v>10</v>
      </c>
      <c r="K16" s="1312" t="e">
        <f t="shared" ca="1" si="0"/>
        <v>#NAME?</v>
      </c>
      <c r="L16" s="1315" t="e">
        <f ca="1">+K16*I16*VLOOKUP(H16,'Factores Emisión EDGE'!$K$267:$L$272,2,FALSE)/1000</f>
        <v>#NAME?</v>
      </c>
      <c r="M16" s="1312"/>
      <c r="N16" s="1312"/>
      <c r="O16" s="1312"/>
      <c r="P16" s="1312"/>
      <c r="Q16" s="1312"/>
    </row>
    <row r="17" spans="1:16">
      <c r="A17" s="1314">
        <v>44650.378696979169</v>
      </c>
      <c r="B17" s="1310" t="s">
        <v>1988</v>
      </c>
      <c r="C17" s="1310" t="s">
        <v>1989</v>
      </c>
      <c r="D17" s="1310" t="s">
        <v>1951</v>
      </c>
      <c r="E17" s="1310" t="s">
        <v>1965</v>
      </c>
      <c r="F17" s="1310" t="e">
        <f t="array" aca="1" ref="F17" ca="1">+_xludf.IFS(E17="50% teletrabajo",0.5, E17="25% teletrabajo",0.75,E17="75% teletrabajo",0.25,E17="100% teletrabajo",0,E17="100% trabajo presencial",1)</f>
        <v>#NAME?</v>
      </c>
      <c r="G17" s="1310" t="s">
        <v>1952</v>
      </c>
      <c r="H17" s="1310" t="e">
        <f t="array" aca="1" ref="H17" ca="1">+_xludf.IFS(G17="Vehículo - Uso individual","Auto",G17="Vehículo - Uso compartido","Auto",G17="Transporte público","Bus",G17="Moto","Moto",G17="Bicicleta o caminando","Bicicleta")</f>
        <v>#NAME?</v>
      </c>
      <c r="I17" s="1310">
        <v>1</v>
      </c>
      <c r="J17" s="1310">
        <v>9</v>
      </c>
      <c r="K17" s="1312" t="e">
        <f t="shared" ca="1" si="0"/>
        <v>#NAME?</v>
      </c>
      <c r="L17" s="1315" t="e">
        <f ca="1">+K17*I17*VLOOKUP(H17,'Factores Emisión EDGE'!$K$267:$L$272,2,FALSE)/1000</f>
        <v>#NAME?</v>
      </c>
      <c r="M17" s="1312"/>
      <c r="N17" s="1312"/>
      <c r="O17" s="1312"/>
      <c r="P17" s="1312"/>
    </row>
    <row r="18" spans="1:16">
      <c r="A18" s="1314">
        <v>44650.378708506949</v>
      </c>
      <c r="B18" s="1310" t="s">
        <v>1990</v>
      </c>
      <c r="C18" s="1310" t="s">
        <v>1991</v>
      </c>
      <c r="D18" s="1310" t="s">
        <v>1951</v>
      </c>
      <c r="E18" s="1310" t="s">
        <v>1955</v>
      </c>
      <c r="F18" s="1310" t="e">
        <f t="array" aca="1" ref="F18" ca="1">+_xludf.IFS(E18="50% teletrabajo",0.5, E18="25% teletrabajo",0.75,E18="75% teletrabajo",0.25,E18="100% teletrabajo",0,E18="100% trabajo presencial",1)</f>
        <v>#NAME?</v>
      </c>
      <c r="G18" s="1310" t="s">
        <v>1964</v>
      </c>
      <c r="H18" s="1310" t="e">
        <f t="array" aca="1" ref="H18" ca="1">+_xludf.IFS(G18="Vehículo - Uso individual","Auto",G18="Vehículo - Uso compartido","Auto",G18="Transporte público","Bus",G18="Moto","Moto",G18="Bicicleta o caminando","Bicicleta")</f>
        <v>#NAME?</v>
      </c>
      <c r="I18" s="1310">
        <v>1</v>
      </c>
      <c r="J18" s="1310">
        <v>8</v>
      </c>
      <c r="K18" s="1312" t="e">
        <f t="shared" ca="1" si="0"/>
        <v>#NAME?</v>
      </c>
      <c r="L18" s="1315" t="e">
        <f ca="1">+K18*I18*VLOOKUP(H18,'Factores Emisión EDGE'!$K$267:$L$272,2,FALSE)/1000</f>
        <v>#NAME?</v>
      </c>
      <c r="M18" s="1312"/>
      <c r="N18" s="1312"/>
      <c r="O18" s="1312" t="s">
        <v>1992</v>
      </c>
      <c r="P18" s="1317" t="e">
        <f ca="1">+SUM(K2:K582)</f>
        <v>#NAME?</v>
      </c>
    </row>
    <row r="19" spans="1:16">
      <c r="A19" s="1314">
        <v>44650.378732060184</v>
      </c>
      <c r="B19" s="1310" t="s">
        <v>1993</v>
      </c>
      <c r="C19" s="1310" t="s">
        <v>1994</v>
      </c>
      <c r="D19" s="1310" t="s">
        <v>1951</v>
      </c>
      <c r="E19" s="1310" t="s">
        <v>868</v>
      </c>
      <c r="F19" s="1310" t="e">
        <f t="array" aca="1" ref="F19" ca="1">+_xludf.IFS(E19="50% teletrabajo",0.5, E19="25% teletrabajo",0.75,E19="75% teletrabajo",0.25,E19="100% teletrabajo",0,E19="100% trabajo presencial",1)</f>
        <v>#NAME?</v>
      </c>
      <c r="G19" s="1310" t="s">
        <v>1995</v>
      </c>
      <c r="H19" s="1310" t="e">
        <f t="array" aca="1" ref="H19" ca="1">+_xludf.IFS(G19="Vehículo - Uso individual","Auto",G19="Vehículo - Uso compartido","Auto",G19="Transporte público","Bus",G19="Moto","Moto",G19="Bicicleta o caminando","Bicicleta")</f>
        <v>#NAME?</v>
      </c>
      <c r="I19" s="1310">
        <v>0.25</v>
      </c>
      <c r="J19" s="1310">
        <v>24</v>
      </c>
      <c r="K19" s="1312" t="e">
        <f t="shared" ca="1" si="0"/>
        <v>#NAME?</v>
      </c>
      <c r="L19" s="1315" t="e">
        <f ca="1">+K19*I19*VLOOKUP(H19,'Factores Emisión EDGE'!$K$267:$L$272,2,FALSE)/1000</f>
        <v>#NAME?</v>
      </c>
      <c r="M19" s="1312"/>
      <c r="N19" s="1312"/>
      <c r="O19" s="1312"/>
      <c r="P19" s="1312"/>
    </row>
    <row r="20" spans="1:16">
      <c r="A20" s="1314">
        <v>44650.378805509259</v>
      </c>
      <c r="B20" s="1310" t="s">
        <v>1996</v>
      </c>
      <c r="C20" s="1310" t="s">
        <v>1997</v>
      </c>
      <c r="D20" s="1310" t="s">
        <v>1951</v>
      </c>
      <c r="E20" s="1310" t="s">
        <v>1960</v>
      </c>
      <c r="F20" s="1310" t="e">
        <f t="array" aca="1" ref="F20" ca="1">+_xludf.IFS(E20="50% teletrabajo",0.5, E20="25% teletrabajo",0.75,E20="75% teletrabajo",0.25,E20="100% teletrabajo",0,E20="100% trabajo presencial",1)</f>
        <v>#NAME?</v>
      </c>
      <c r="G20" s="1310" t="s">
        <v>1952</v>
      </c>
      <c r="H20" s="1310" t="e">
        <f t="array" aca="1" ref="H20" ca="1">+_xludf.IFS(G20="Vehículo - Uso individual","Auto",G20="Vehículo - Uso compartido","Auto",G20="Transporte público","Bus",G20="Moto","Moto",G20="Bicicleta o caminando","Bicicleta")</f>
        <v>#NAME?</v>
      </c>
      <c r="I20" s="1310">
        <v>1</v>
      </c>
      <c r="J20" s="1310">
        <v>8</v>
      </c>
      <c r="K20" s="1312" t="e">
        <f t="shared" ca="1" si="0"/>
        <v>#NAME?</v>
      </c>
      <c r="L20" s="1315" t="e">
        <f ca="1">+K20*I20*VLOOKUP(H20,'Factores Emisión EDGE'!$K$267:$L$272,2,FALSE)/1000</f>
        <v>#NAME?</v>
      </c>
      <c r="M20" s="1312"/>
      <c r="N20" s="1312"/>
      <c r="O20" s="1312"/>
      <c r="P20" s="1312"/>
    </row>
    <row r="21" spans="1:16">
      <c r="A21" s="1314">
        <v>44650.37916355324</v>
      </c>
      <c r="B21" s="1310" t="s">
        <v>1998</v>
      </c>
      <c r="C21" s="1310" t="s">
        <v>1999</v>
      </c>
      <c r="D21" s="1310" t="s">
        <v>1951</v>
      </c>
      <c r="E21" s="1310" t="s">
        <v>868</v>
      </c>
      <c r="F21" s="1310" t="e">
        <f t="array" aca="1" ref="F21" ca="1">+_xludf.IFS(E21="50% teletrabajo",0.5, E21="25% teletrabajo",0.75,E21="75% teletrabajo",0.25,E21="100% teletrabajo",0,E21="100% trabajo presencial",1)</f>
        <v>#NAME?</v>
      </c>
      <c r="G21" s="1310" t="s">
        <v>1964</v>
      </c>
      <c r="H21" s="1310" t="e">
        <f t="array" aca="1" ref="H21" ca="1">+_xludf.IFS(G21="Vehículo - Uso individual","Auto",G21="Vehículo - Uso compartido","Auto",G21="Transporte público","Bus",G21="Moto","Moto",G21="Bicicleta o caminando","Bicicleta")</f>
        <v>#NAME?</v>
      </c>
      <c r="I21" s="1310">
        <v>1</v>
      </c>
      <c r="J21" s="1310">
        <v>25</v>
      </c>
      <c r="K21" s="1312" t="e">
        <f t="shared" ca="1" si="0"/>
        <v>#NAME?</v>
      </c>
      <c r="L21" s="1315" t="e">
        <f ca="1">+K21*I21*VLOOKUP(H21,'Factores Emisión EDGE'!$K$267:$L$272,2,FALSE)/1000</f>
        <v>#NAME?</v>
      </c>
      <c r="M21" s="1312"/>
      <c r="N21" s="1312"/>
      <c r="O21" s="1315" t="s">
        <v>87</v>
      </c>
      <c r="P21" s="1315" t="e">
        <f ca="1">+SUM(L2:L582)</f>
        <v>#NAME?</v>
      </c>
    </row>
    <row r="22" spans="1:16">
      <c r="A22" s="1314">
        <v>44650.379270555553</v>
      </c>
      <c r="B22" s="1310" t="s">
        <v>2000</v>
      </c>
      <c r="C22" s="1310" t="s">
        <v>2001</v>
      </c>
      <c r="D22" s="1310" t="s">
        <v>1951</v>
      </c>
      <c r="E22" s="1310" t="s">
        <v>1960</v>
      </c>
      <c r="F22" s="1310" t="e">
        <f t="array" aca="1" ref="F22" ca="1">+_xludf.IFS(E22="50% teletrabajo",0.5, E22="25% teletrabajo",0.75,E22="75% teletrabajo",0.25,E22="100% teletrabajo",0,E22="100% trabajo presencial",1)</f>
        <v>#NAME?</v>
      </c>
      <c r="G22" s="1310" t="s">
        <v>1964</v>
      </c>
      <c r="H22" s="1310" t="e">
        <f t="array" aca="1" ref="H22" ca="1">+_xludf.IFS(G22="Vehículo - Uso individual","Auto",G22="Vehículo - Uso compartido","Auto",G22="Transporte público","Bus",G22="Moto","Moto",G22="Bicicleta o caminando","Bicicleta")</f>
        <v>#NAME?</v>
      </c>
      <c r="I22" s="1310">
        <v>1</v>
      </c>
      <c r="J22" s="1310">
        <v>11</v>
      </c>
      <c r="K22" s="1312" t="e">
        <f t="shared" ca="1" si="0"/>
        <v>#NAME?</v>
      </c>
      <c r="L22" s="1315" t="e">
        <f ca="1">+K22*I22*VLOOKUP(H22,'Factores Emisión EDGE'!$K$267:$L$272,2,FALSE)/1000</f>
        <v>#NAME?</v>
      </c>
      <c r="M22" s="1312"/>
      <c r="N22" s="1312"/>
      <c r="O22" s="1312"/>
      <c r="P22" s="1312"/>
    </row>
    <row r="23" spans="1:16">
      <c r="A23" s="1314">
        <v>44650.379574826387</v>
      </c>
      <c r="B23" s="1310" t="s">
        <v>2002</v>
      </c>
      <c r="C23" s="1310" t="s">
        <v>2003</v>
      </c>
      <c r="D23" s="1310" t="s">
        <v>1951</v>
      </c>
      <c r="E23" s="1310" t="s">
        <v>1965</v>
      </c>
      <c r="F23" s="1310" t="e">
        <f t="array" aca="1" ref="F23" ca="1">+_xludf.IFS(E23="50% teletrabajo",0.5, E23="25% teletrabajo",0.75,E23="75% teletrabajo",0.25,E23="100% teletrabajo",0,E23="100% trabajo presencial",1)</f>
        <v>#NAME?</v>
      </c>
      <c r="G23" s="1310" t="s">
        <v>1964</v>
      </c>
      <c r="H23" s="1310" t="e">
        <f t="array" aca="1" ref="H23" ca="1">+_xludf.IFS(G23="Vehículo - Uso individual","Auto",G23="Vehículo - Uso compartido","Auto",G23="Transporte público","Bus",G23="Moto","Moto",G23="Bicicleta o caminando","Bicicleta")</f>
        <v>#NAME?</v>
      </c>
      <c r="I23" s="1310">
        <v>1</v>
      </c>
      <c r="J23" s="1310">
        <v>10</v>
      </c>
      <c r="K23" s="1312" t="e">
        <f t="shared" ca="1" si="0"/>
        <v>#NAME?</v>
      </c>
      <c r="L23" s="1315" t="e">
        <f ca="1">+K23*I23*VLOOKUP(H23,'Factores Emisión EDGE'!$K$267:$L$272,2,FALSE)/1000</f>
        <v>#NAME?</v>
      </c>
      <c r="M23" s="1312"/>
      <c r="N23" s="1312"/>
      <c r="O23" s="1312">
        <f ca="1">+COUNT(K2:K582)</f>
        <v>0</v>
      </c>
      <c r="P23" s="1312" t="e">
        <f ca="1">+P21</f>
        <v>#NAME?</v>
      </c>
    </row>
    <row r="24" spans="1:16">
      <c r="A24" s="1314">
        <v>44650.379584097223</v>
      </c>
      <c r="B24" s="1310" t="s">
        <v>2004</v>
      </c>
      <c r="C24" s="1310" t="s">
        <v>2005</v>
      </c>
      <c r="D24" s="1310" t="s">
        <v>1951</v>
      </c>
      <c r="E24" s="1310" t="s">
        <v>868</v>
      </c>
      <c r="F24" s="1310" t="e">
        <f t="array" aca="1" ref="F24" ca="1">+_xludf.IFS(E24="50% teletrabajo",0.5, E24="25% teletrabajo",0.75,E24="75% teletrabajo",0.25,E24="100% teletrabajo",0,E24="100% trabajo presencial",1)</f>
        <v>#NAME?</v>
      </c>
      <c r="G24" s="1310" t="s">
        <v>1964</v>
      </c>
      <c r="H24" s="1310" t="e">
        <f t="array" aca="1" ref="H24" ca="1">+_xludf.IFS(G24="Vehículo - Uso individual","Auto",G24="Vehículo - Uso compartido","Auto",G24="Transporte público","Bus",G24="Moto","Moto",G24="Bicicleta o caminando","Bicicleta")</f>
        <v>#NAME?</v>
      </c>
      <c r="I24" s="1310">
        <v>1</v>
      </c>
      <c r="J24" s="1310">
        <v>24</v>
      </c>
      <c r="K24" s="1312" t="e">
        <f t="shared" ca="1" si="0"/>
        <v>#NAME?</v>
      </c>
      <c r="L24" s="1315" t="e">
        <f ca="1">+K24*I24*VLOOKUP(H24,'Factores Emisión EDGE'!$K$267:$L$272,2,FALSE)/1000</f>
        <v>#NAME?</v>
      </c>
      <c r="M24" s="1312"/>
      <c r="N24" s="1312"/>
      <c r="O24" s="1315" t="e">
        <v>#REF!</v>
      </c>
      <c r="P24" s="1315" t="e">
        <f ca="1">+O24*P23/O23</f>
        <v>#REF!</v>
      </c>
    </row>
    <row r="25" spans="1:16">
      <c r="A25" s="1314">
        <v>44650.379675312499</v>
      </c>
      <c r="B25" s="1310" t="s">
        <v>2006</v>
      </c>
      <c r="C25" s="1310">
        <v>176778679</v>
      </c>
      <c r="D25" s="1310" t="s">
        <v>1951</v>
      </c>
      <c r="E25" s="1310" t="s">
        <v>1965</v>
      </c>
      <c r="F25" s="1310" t="e">
        <f t="array" aca="1" ref="F25" ca="1">+_xludf.IFS(E25="50% teletrabajo",0.5, E25="25% teletrabajo",0.75,E25="75% teletrabajo",0.25,E25="100% teletrabajo",0,E25="100% trabajo presencial",1)</f>
        <v>#NAME?</v>
      </c>
      <c r="G25" s="1310" t="s">
        <v>1964</v>
      </c>
      <c r="H25" s="1310" t="e">
        <f t="array" aca="1" ref="H25" ca="1">+_xludf.IFS(G25="Vehículo - Uso individual","Auto",G25="Vehículo - Uso compartido","Auto",G25="Transporte público","Bus",G25="Moto","Moto",G25="Bicicleta o caminando","Bicicleta")</f>
        <v>#NAME?</v>
      </c>
      <c r="I25" s="1310">
        <v>1</v>
      </c>
      <c r="J25" s="1310">
        <v>28</v>
      </c>
      <c r="K25" s="1312" t="e">
        <f t="shared" ca="1" si="0"/>
        <v>#NAME?</v>
      </c>
      <c r="L25" s="1315" t="e">
        <f ca="1">+K25*I25*VLOOKUP(H25,'Factores Emisión EDGE'!$K$267:$L$272,2,FALSE)/1000</f>
        <v>#NAME?</v>
      </c>
      <c r="M25" s="1312"/>
      <c r="N25" s="1312"/>
      <c r="O25" s="1312"/>
      <c r="P25" s="1312"/>
    </row>
    <row r="26" spans="1:16">
      <c r="A26" s="1314">
        <v>44650.379993888884</v>
      </c>
      <c r="B26" s="1310" t="s">
        <v>2007</v>
      </c>
      <c r="C26" s="1310" t="s">
        <v>2008</v>
      </c>
      <c r="D26" s="1310" t="s">
        <v>1951</v>
      </c>
      <c r="E26" s="1310" t="s">
        <v>1965</v>
      </c>
      <c r="F26" s="1310" t="e">
        <f t="array" aca="1" ref="F26" ca="1">+_xludf.IFS(E26="50% teletrabajo",0.5, E26="25% teletrabajo",0.75,E26="75% teletrabajo",0.25,E26="100% teletrabajo",0,E26="100% trabajo presencial",1)</f>
        <v>#NAME?</v>
      </c>
      <c r="G26" s="1310" t="s">
        <v>1995</v>
      </c>
      <c r="H26" s="1310" t="e">
        <f t="array" aca="1" ref="H26" ca="1">+_xludf.IFS(G26="Vehículo - Uso individual","Auto",G26="Vehículo - Uso compartido","Auto",G26="Transporte público","Bus",G26="Moto","Moto",G26="Bicicleta o caminando","Bicicleta")</f>
        <v>#NAME?</v>
      </c>
      <c r="I26" s="1310">
        <v>0.25</v>
      </c>
      <c r="J26" s="1310">
        <v>50</v>
      </c>
      <c r="K26" s="1312" t="e">
        <f t="shared" ca="1" si="0"/>
        <v>#NAME?</v>
      </c>
      <c r="L26" s="1315" t="e">
        <f ca="1">+K26*I26*VLOOKUP(H26,'Factores Emisión EDGE'!$K$267:$L$272,2,FALSE)/1000</f>
        <v>#NAME?</v>
      </c>
      <c r="M26" s="1312"/>
      <c r="N26" s="1312"/>
      <c r="O26" s="1312">
        <v>581</v>
      </c>
      <c r="P26" s="1317" t="e">
        <f ca="1">+P18</f>
        <v>#NAME?</v>
      </c>
    </row>
    <row r="27" spans="1:16">
      <c r="A27" s="1314">
        <v>44650.380001550926</v>
      </c>
      <c r="B27" s="1310" t="s">
        <v>2009</v>
      </c>
      <c r="C27" s="1310" t="s">
        <v>2010</v>
      </c>
      <c r="D27" s="1310" t="s">
        <v>1951</v>
      </c>
      <c r="E27" s="1310" t="s">
        <v>1955</v>
      </c>
      <c r="F27" s="1310" t="e">
        <f t="array" aca="1" ref="F27" ca="1">+_xludf.IFS(E27="50% teletrabajo",0.5, E27="25% teletrabajo",0.75,E27="75% teletrabajo",0.25,E27="100% teletrabajo",0,E27="100% trabajo presencial",1)</f>
        <v>#NAME?</v>
      </c>
      <c r="G27" s="1310" t="s">
        <v>1964</v>
      </c>
      <c r="H27" s="1310" t="e">
        <f t="array" aca="1" ref="H27" ca="1">+_xludf.IFS(G27="Vehículo - Uso individual","Auto",G27="Vehículo - Uso compartido","Auto",G27="Transporte público","Bus",G27="Moto","Moto",G27="Bicicleta o caminando","Bicicleta")</f>
        <v>#NAME?</v>
      </c>
      <c r="I27" s="1310">
        <v>1</v>
      </c>
      <c r="J27" s="1310">
        <v>4</v>
      </c>
      <c r="K27" s="1312" t="e">
        <f t="shared" ca="1" si="0"/>
        <v>#NAME?</v>
      </c>
      <c r="L27" s="1315" t="e">
        <f ca="1">+K27*I27*VLOOKUP(H27,'Factores Emisión EDGE'!$K$267:$L$272,2,FALSE)/1000</f>
        <v>#NAME?</v>
      </c>
      <c r="M27" s="1312"/>
      <c r="N27" s="1312"/>
      <c r="O27" s="1312" t="e">
        <f>+O24</f>
        <v>#REF!</v>
      </c>
      <c r="P27" s="1317" t="e">
        <f ca="1">+O27*P26/O26</f>
        <v>#REF!</v>
      </c>
    </row>
    <row r="28" spans="1:16">
      <c r="A28" s="1314">
        <v>44650.380023333331</v>
      </c>
      <c r="B28" s="1310" t="s">
        <v>2011</v>
      </c>
      <c r="C28" s="1310" t="s">
        <v>2012</v>
      </c>
      <c r="D28" s="1310" t="s">
        <v>1951</v>
      </c>
      <c r="E28" s="1310" t="s">
        <v>872</v>
      </c>
      <c r="F28" s="1310" t="e">
        <f t="array" aca="1" ref="F28" ca="1">+_xludf.IFS(E28="50% teletrabajo",0.5, E28="25% teletrabajo",0.75,E28="75% teletrabajo",0.25,E28="100% teletrabajo",0,E28="100% trabajo presencial",1)</f>
        <v>#NAME?</v>
      </c>
      <c r="G28" s="1310" t="s">
        <v>1964</v>
      </c>
      <c r="H28" s="1310" t="e">
        <f t="array" aca="1" ref="H28" ca="1">+_xludf.IFS(G28="Vehículo - Uso individual","Auto",G28="Vehículo - Uso compartido","Auto",G28="Transporte público","Bus",G28="Moto","Moto",G28="Bicicleta o caminando","Bicicleta")</f>
        <v>#NAME?</v>
      </c>
      <c r="I28" s="1310">
        <v>1</v>
      </c>
      <c r="J28" s="1310">
        <v>12</v>
      </c>
      <c r="K28" s="1312" t="e">
        <f t="shared" ca="1" si="0"/>
        <v>#NAME?</v>
      </c>
      <c r="L28" s="1315" t="e">
        <f ca="1">+K28*I28*VLOOKUP(H28,'Factores Emisión EDGE'!$K$267:$L$272,2,FALSE)/1000</f>
        <v>#NAME?</v>
      </c>
      <c r="M28" s="1312"/>
      <c r="N28" s="1312"/>
      <c r="O28" s="1312"/>
      <c r="P28" s="1312"/>
    </row>
    <row r="29" spans="1:16">
      <c r="A29" s="1314">
        <v>44650.380260659724</v>
      </c>
      <c r="B29" s="1310" t="s">
        <v>2013</v>
      </c>
      <c r="C29" s="1310" t="s">
        <v>2014</v>
      </c>
      <c r="D29" s="1310" t="s">
        <v>1951</v>
      </c>
      <c r="E29" s="1310" t="s">
        <v>868</v>
      </c>
      <c r="F29" s="1310" t="e">
        <f t="array" aca="1" ref="F29" ca="1">+_xludf.IFS(E29="50% teletrabajo",0.5, E29="25% teletrabajo",0.75,E29="75% teletrabajo",0.25,E29="100% teletrabajo",0,E29="100% trabajo presencial",1)</f>
        <v>#NAME?</v>
      </c>
      <c r="G29" s="1310" t="s">
        <v>1952</v>
      </c>
      <c r="H29" s="1310" t="e">
        <f t="array" aca="1" ref="H29" ca="1">+_xludf.IFS(G29="Vehículo - Uso individual","Auto",G29="Vehículo - Uso compartido","Auto",G29="Transporte público","Bus",G29="Moto","Moto",G29="Bicicleta o caminando","Bicicleta")</f>
        <v>#NAME?</v>
      </c>
      <c r="I29" s="1310">
        <v>1</v>
      </c>
      <c r="J29" s="1310">
        <v>40</v>
      </c>
      <c r="K29" s="1312" t="e">
        <f t="shared" ca="1" si="0"/>
        <v>#NAME?</v>
      </c>
      <c r="L29" s="1315" t="e">
        <f ca="1">+K29*I29*VLOOKUP(H29,'Factores Emisión EDGE'!$K$267:$L$272,2,FALSE)/1000</f>
        <v>#NAME?</v>
      </c>
      <c r="M29" s="1312"/>
      <c r="N29" s="1312"/>
      <c r="O29" s="1312"/>
      <c r="P29" s="1312"/>
    </row>
    <row r="30" spans="1:16">
      <c r="A30" s="1314">
        <v>44650.380278784723</v>
      </c>
      <c r="B30" s="1310" t="s">
        <v>2015</v>
      </c>
      <c r="C30" s="1310" t="s">
        <v>2016</v>
      </c>
      <c r="D30" s="1310" t="s">
        <v>1951</v>
      </c>
      <c r="E30" s="1310" t="s">
        <v>1960</v>
      </c>
      <c r="F30" s="1310" t="e">
        <f t="array" aca="1" ref="F30" ca="1">+_xludf.IFS(E30="50% teletrabajo",0.5, E30="25% teletrabajo",0.75,E30="75% teletrabajo",0.25,E30="100% teletrabajo",0,E30="100% trabajo presencial",1)</f>
        <v>#NAME?</v>
      </c>
      <c r="G30" s="1310" t="s">
        <v>1952</v>
      </c>
      <c r="H30" s="1310" t="e">
        <f t="array" aca="1" ref="H30" ca="1">+_xludf.IFS(G30="Vehículo - Uso individual","Auto",G30="Vehículo - Uso compartido","Auto",G30="Transporte público","Bus",G30="Moto","Moto",G30="Bicicleta o caminando","Bicicleta")</f>
        <v>#NAME?</v>
      </c>
      <c r="I30" s="1310">
        <v>1</v>
      </c>
      <c r="J30" s="1310">
        <v>12.8</v>
      </c>
      <c r="K30" s="1312" t="e">
        <f t="shared" ca="1" si="0"/>
        <v>#NAME?</v>
      </c>
      <c r="L30" s="1315" t="e">
        <f ca="1">+K30*I30*VLOOKUP(H30,'Factores Emisión EDGE'!$K$267:$L$272,2,FALSE)/1000</f>
        <v>#NAME?</v>
      </c>
      <c r="M30" s="1312"/>
      <c r="N30" s="1312"/>
      <c r="O30" s="1312"/>
      <c r="P30" s="1312"/>
    </row>
    <row r="31" spans="1:16">
      <c r="A31" s="1314">
        <v>44650.380296134259</v>
      </c>
      <c r="B31" s="1310" t="s">
        <v>2017</v>
      </c>
      <c r="C31" s="1310" t="s">
        <v>2018</v>
      </c>
      <c r="D31" s="1310" t="s">
        <v>1951</v>
      </c>
      <c r="E31" s="1310" t="s">
        <v>1960</v>
      </c>
      <c r="F31" s="1310" t="e">
        <f t="array" aca="1" ref="F31" ca="1">+_xludf.IFS(E31="50% teletrabajo",0.5, E31="25% teletrabajo",0.75,E31="75% teletrabajo",0.25,E31="100% teletrabajo",0,E31="100% trabajo presencial",1)</f>
        <v>#NAME?</v>
      </c>
      <c r="G31" s="1310" t="s">
        <v>1952</v>
      </c>
      <c r="H31" s="1310" t="e">
        <f t="array" aca="1" ref="H31" ca="1">+_xludf.IFS(G31="Vehículo - Uso individual","Auto",G31="Vehículo - Uso compartido","Auto",G31="Transporte público","Bus",G31="Moto","Moto",G31="Bicicleta o caminando","Bicicleta")</f>
        <v>#NAME?</v>
      </c>
      <c r="I31" s="1310">
        <v>1</v>
      </c>
      <c r="J31" s="1310">
        <v>36</v>
      </c>
      <c r="K31" s="1312" t="e">
        <f t="shared" ca="1" si="0"/>
        <v>#NAME?</v>
      </c>
      <c r="L31" s="1315" t="e">
        <f ca="1">+K31*I31*VLOOKUP(H31,'Factores Emisión EDGE'!$K$267:$L$272,2,FALSE)/1000</f>
        <v>#NAME?</v>
      </c>
      <c r="M31" s="1312"/>
      <c r="N31" s="1312"/>
      <c r="O31" s="1312"/>
      <c r="P31" s="1312"/>
    </row>
    <row r="32" spans="1:16">
      <c r="A32" s="1314">
        <v>44650.380429513891</v>
      </c>
      <c r="B32" s="1310" t="s">
        <v>2019</v>
      </c>
      <c r="C32" s="1310" t="s">
        <v>2020</v>
      </c>
      <c r="D32" s="1310" t="s">
        <v>1951</v>
      </c>
      <c r="E32" s="1310" t="s">
        <v>868</v>
      </c>
      <c r="F32" s="1310" t="e">
        <f t="array" aca="1" ref="F32" ca="1">+_xludf.IFS(E32="50% teletrabajo",0.5, E32="25% teletrabajo",0.75,E32="75% teletrabajo",0.25,E32="100% teletrabajo",0,E32="100% trabajo presencial",1)</f>
        <v>#NAME?</v>
      </c>
      <c r="G32" s="1310" t="s">
        <v>863</v>
      </c>
      <c r="H32" s="1310" t="e">
        <f t="array" aca="1" ref="H32" ca="1">+_xludf.IFS(G32="Vehículo - Uso individual","Auto",G32="Vehículo - Uso compartido","Auto",G32="Transporte público","Bus",G32="Moto","Moto",G32="Bicicleta o caminando","Bicicleta")</f>
        <v>#NAME?</v>
      </c>
      <c r="I32" s="1310">
        <v>1</v>
      </c>
      <c r="J32" s="1310">
        <v>15</v>
      </c>
      <c r="K32" s="1312" t="e">
        <f t="shared" ca="1" si="0"/>
        <v>#NAME?</v>
      </c>
      <c r="L32" s="1315" t="e">
        <f ca="1">+K32*I32*VLOOKUP(H32,'Factores Emisión EDGE'!$K$267:$L$272,2,FALSE)/1000</f>
        <v>#NAME?</v>
      </c>
      <c r="M32" s="1312"/>
      <c r="N32" s="1312"/>
      <c r="O32" s="1312"/>
      <c r="P32" s="1312"/>
    </row>
    <row r="33" spans="1:12">
      <c r="A33" s="1314">
        <v>44650.380730474542</v>
      </c>
      <c r="B33" s="1310" t="s">
        <v>2021</v>
      </c>
      <c r="C33" s="1310" t="s">
        <v>2022</v>
      </c>
      <c r="D33" s="1310" t="s">
        <v>1951</v>
      </c>
      <c r="E33" s="1310" t="s">
        <v>872</v>
      </c>
      <c r="F33" s="1310" t="e">
        <f t="array" aca="1" ref="F33" ca="1">+_xludf.IFS(E33="50% teletrabajo",0.5, E33="25% teletrabajo",0.75,E33="75% teletrabajo",0.25,E33="100% teletrabajo",0,E33="100% trabajo presencial",1)</f>
        <v>#NAME?</v>
      </c>
      <c r="G33" s="1310" t="s">
        <v>1952</v>
      </c>
      <c r="H33" s="1310" t="e">
        <f t="array" aca="1" ref="H33" ca="1">+_xludf.IFS(G33="Vehículo - Uso individual","Auto",G33="Vehículo - Uso compartido","Auto",G33="Transporte público","Bus",G33="Moto","Moto",G33="Bicicleta o caminando","Bicicleta")</f>
        <v>#NAME?</v>
      </c>
      <c r="I33" s="1310">
        <v>1</v>
      </c>
      <c r="J33" s="1310">
        <v>40</v>
      </c>
      <c r="K33" s="1312" t="e">
        <f t="shared" ca="1" si="0"/>
        <v>#NAME?</v>
      </c>
      <c r="L33" s="1315" t="e">
        <f ca="1">+K33*I33*VLOOKUP(H33,'Factores Emisión EDGE'!$K$267:$L$272,2,FALSE)/1000</f>
        <v>#NAME?</v>
      </c>
    </row>
    <row r="34" spans="1:12">
      <c r="A34" s="1314">
        <v>44650.380836736113</v>
      </c>
      <c r="B34" s="1310" t="s">
        <v>2023</v>
      </c>
      <c r="C34" s="1310" t="s">
        <v>2024</v>
      </c>
      <c r="D34" s="1310" t="s">
        <v>1951</v>
      </c>
      <c r="E34" s="1310" t="s">
        <v>1955</v>
      </c>
      <c r="F34" s="1310" t="e">
        <f t="array" aca="1" ref="F34" ca="1">+_xludf.IFS(E34="50% teletrabajo",0.5, E34="25% teletrabajo",0.75,E34="75% teletrabajo",0.25,E34="100% teletrabajo",0,E34="100% trabajo presencial",1)</f>
        <v>#NAME?</v>
      </c>
      <c r="G34" s="1310" t="s">
        <v>1952</v>
      </c>
      <c r="H34" s="1310" t="e">
        <f t="array" aca="1" ref="H34" ca="1">+_xludf.IFS(G34="Vehículo - Uso individual","Auto",G34="Vehículo - Uso compartido","Auto",G34="Transporte público","Bus",G34="Moto","Moto",G34="Bicicleta o caminando","Bicicleta")</f>
        <v>#NAME?</v>
      </c>
      <c r="I34" s="1310">
        <v>1</v>
      </c>
      <c r="J34" s="1310">
        <v>35</v>
      </c>
      <c r="K34" s="1312" t="e">
        <f t="shared" ca="1" si="0"/>
        <v>#NAME?</v>
      </c>
      <c r="L34" s="1315" t="e">
        <f ca="1">+K34*I34*VLOOKUP(H34,'Factores Emisión EDGE'!$K$267:$L$272,2,FALSE)/1000</f>
        <v>#NAME?</v>
      </c>
    </row>
    <row r="35" spans="1:12">
      <c r="A35" s="1314">
        <v>44650.380933206019</v>
      </c>
      <c r="B35" s="1310" t="s">
        <v>2025</v>
      </c>
      <c r="C35" s="1310" t="s">
        <v>2026</v>
      </c>
      <c r="D35" s="1310" t="s">
        <v>1951</v>
      </c>
      <c r="E35" s="1310" t="s">
        <v>872</v>
      </c>
      <c r="F35" s="1310" t="e">
        <f t="array" aca="1" ref="F35" ca="1">+_xludf.IFS(E35="50% teletrabajo",0.5, E35="25% teletrabajo",0.75,E35="75% teletrabajo",0.25,E35="100% teletrabajo",0,E35="100% trabajo presencial",1)</f>
        <v>#NAME?</v>
      </c>
      <c r="G35" s="1310" t="s">
        <v>1964</v>
      </c>
      <c r="H35" s="1310" t="e">
        <f t="array" aca="1" ref="H35" ca="1">+_xludf.IFS(G35="Vehículo - Uso individual","Auto",G35="Vehículo - Uso compartido","Auto",G35="Transporte público","Bus",G35="Moto","Moto",G35="Bicicleta o caminando","Bicicleta")</f>
        <v>#NAME?</v>
      </c>
      <c r="I35" s="1310">
        <v>1</v>
      </c>
      <c r="J35" s="1310">
        <v>10</v>
      </c>
      <c r="K35" s="1312" t="e">
        <f t="shared" ca="1" si="0"/>
        <v>#NAME?</v>
      </c>
      <c r="L35" s="1315" t="e">
        <f ca="1">+K35*I35*VLOOKUP(H35,'Factores Emisión EDGE'!$K$267:$L$272,2,FALSE)/1000</f>
        <v>#NAME?</v>
      </c>
    </row>
    <row r="36" spans="1:12">
      <c r="A36" s="1314">
        <v>44650.381184756945</v>
      </c>
      <c r="B36" s="1310" t="s">
        <v>2027</v>
      </c>
      <c r="C36" s="1310" t="s">
        <v>2028</v>
      </c>
      <c r="D36" s="1310" t="s">
        <v>1951</v>
      </c>
      <c r="E36" s="1310" t="s">
        <v>868</v>
      </c>
      <c r="F36" s="1310" t="e">
        <f t="array" aca="1" ref="F36" ca="1">+_xludf.IFS(E36="50% teletrabajo",0.5, E36="25% teletrabajo",0.75,E36="75% teletrabajo",0.25,E36="100% teletrabajo",0,E36="100% trabajo presencial",1)</f>
        <v>#NAME?</v>
      </c>
      <c r="G36" s="1310" t="s">
        <v>1964</v>
      </c>
      <c r="H36" s="1310" t="e">
        <f t="array" aca="1" ref="H36" ca="1">+_xludf.IFS(G36="Vehículo - Uso individual","Auto",G36="Vehículo - Uso compartido","Auto",G36="Transporte público","Bus",G36="Moto","Moto",G36="Bicicleta o caminando","Bicicleta")</f>
        <v>#NAME?</v>
      </c>
      <c r="I36" s="1310">
        <v>1</v>
      </c>
      <c r="J36" s="1310">
        <v>6</v>
      </c>
      <c r="K36" s="1312" t="e">
        <f t="shared" ca="1" si="0"/>
        <v>#NAME?</v>
      </c>
      <c r="L36" s="1315" t="e">
        <f ca="1">+K36*I36*VLOOKUP(H36,'Factores Emisión EDGE'!$K$267:$L$272,2,FALSE)/1000</f>
        <v>#NAME?</v>
      </c>
    </row>
    <row r="37" spans="1:12">
      <c r="A37" s="1314">
        <v>44650.381251134255</v>
      </c>
      <c r="B37" s="1310" t="s">
        <v>2029</v>
      </c>
      <c r="C37" s="1310" t="s">
        <v>2030</v>
      </c>
      <c r="D37" s="1310" t="s">
        <v>1951</v>
      </c>
      <c r="E37" s="1310" t="s">
        <v>1960</v>
      </c>
      <c r="F37" s="1310" t="e">
        <f t="array" aca="1" ref="F37" ca="1">+_xludf.IFS(E37="50% teletrabajo",0.5, E37="25% teletrabajo",0.75,E37="75% teletrabajo",0.25,E37="100% teletrabajo",0,E37="100% trabajo presencial",1)</f>
        <v>#NAME?</v>
      </c>
      <c r="G37" s="1310" t="s">
        <v>1964</v>
      </c>
      <c r="H37" s="1310" t="e">
        <f t="array" aca="1" ref="H37" ca="1">+_xludf.IFS(G37="Vehículo - Uso individual","Auto",G37="Vehículo - Uso compartido","Auto",G37="Transporte público","Bus",G37="Moto","Moto",G37="Bicicleta o caminando","Bicicleta")</f>
        <v>#NAME?</v>
      </c>
      <c r="I37" s="1310">
        <v>1</v>
      </c>
      <c r="J37" s="1310">
        <v>16</v>
      </c>
      <c r="K37" s="1312" t="e">
        <f t="shared" ca="1" si="0"/>
        <v>#NAME?</v>
      </c>
      <c r="L37" s="1315" t="e">
        <f ca="1">+K37*I37*VLOOKUP(H37,'Factores Emisión EDGE'!$K$267:$L$272,2,FALSE)/1000</f>
        <v>#NAME?</v>
      </c>
    </row>
    <row r="38" spans="1:12">
      <c r="A38" s="1314">
        <v>44650.381254432868</v>
      </c>
      <c r="B38" s="1310" t="s">
        <v>2031</v>
      </c>
      <c r="C38" s="1310">
        <v>106950717</v>
      </c>
      <c r="D38" s="1310" t="s">
        <v>1951</v>
      </c>
      <c r="E38" s="1310" t="s">
        <v>868</v>
      </c>
      <c r="F38" s="1310" t="e">
        <f t="array" aca="1" ref="F38" ca="1">+_xludf.IFS(E38="50% teletrabajo",0.5, E38="25% teletrabajo",0.75,E38="75% teletrabajo",0.25,E38="100% teletrabajo",0,E38="100% trabajo presencial",1)</f>
        <v>#NAME?</v>
      </c>
      <c r="G38" s="1310" t="s">
        <v>1952</v>
      </c>
      <c r="H38" s="1310" t="e">
        <f t="array" aca="1" ref="H38" ca="1">+_xludf.IFS(G38="Vehículo - Uso individual","Auto",G38="Vehículo - Uso compartido","Auto",G38="Transporte público","Bus",G38="Moto","Moto",G38="Bicicleta o caminando","Bicicleta")</f>
        <v>#NAME?</v>
      </c>
      <c r="I38" s="1310">
        <v>1</v>
      </c>
      <c r="J38" s="1310">
        <v>26</v>
      </c>
      <c r="K38" s="1312" t="e">
        <f t="shared" ca="1" si="0"/>
        <v>#NAME?</v>
      </c>
      <c r="L38" s="1315" t="e">
        <f ca="1">+K38*I38*VLOOKUP(H38,'Factores Emisión EDGE'!$K$267:$L$272,2,FALSE)/1000</f>
        <v>#NAME?</v>
      </c>
    </row>
    <row r="39" spans="1:12">
      <c r="A39" s="1314">
        <v>44650.381411365743</v>
      </c>
      <c r="B39" s="1310" t="s">
        <v>2032</v>
      </c>
      <c r="C39" s="1310" t="s">
        <v>2033</v>
      </c>
      <c r="D39" s="1310" t="s">
        <v>1951</v>
      </c>
      <c r="E39" s="1310" t="s">
        <v>1965</v>
      </c>
      <c r="F39" s="1310" t="e">
        <f t="array" aca="1" ref="F39" ca="1">+_xludf.IFS(E39="50% teletrabajo",0.5, E39="25% teletrabajo",0.75,E39="75% teletrabajo",0.25,E39="100% teletrabajo",0,E39="100% trabajo presencial",1)</f>
        <v>#NAME?</v>
      </c>
      <c r="G39" s="1310" t="s">
        <v>1964</v>
      </c>
      <c r="H39" s="1310" t="e">
        <f t="array" aca="1" ref="H39" ca="1">+_xludf.IFS(G39="Vehículo - Uso individual","Auto",G39="Vehículo - Uso compartido","Auto",G39="Transporte público","Bus",G39="Moto","Moto",G39="Bicicleta o caminando","Bicicleta")</f>
        <v>#NAME?</v>
      </c>
      <c r="I39" s="1310">
        <v>1</v>
      </c>
      <c r="J39" s="1310">
        <v>14</v>
      </c>
      <c r="K39" s="1312" t="e">
        <f t="shared" ca="1" si="0"/>
        <v>#NAME?</v>
      </c>
      <c r="L39" s="1315" t="e">
        <f ca="1">+K39*I39*VLOOKUP(H39,'Factores Emisión EDGE'!$K$267:$L$272,2,FALSE)/1000</f>
        <v>#NAME?</v>
      </c>
    </row>
    <row r="40" spans="1:12">
      <c r="A40" s="1314">
        <v>44650.381649039351</v>
      </c>
      <c r="B40" s="1310" t="s">
        <v>2034</v>
      </c>
      <c r="C40" s="1310" t="s">
        <v>2035</v>
      </c>
      <c r="D40" s="1310" t="s">
        <v>1951</v>
      </c>
      <c r="E40" s="1310" t="s">
        <v>868</v>
      </c>
      <c r="F40" s="1310" t="e">
        <f t="array" aca="1" ref="F40" ca="1">+_xludf.IFS(E40="50% teletrabajo",0.5, E40="25% teletrabajo",0.75,E40="75% teletrabajo",0.25,E40="100% teletrabajo",0,E40="100% trabajo presencial",1)</f>
        <v>#NAME?</v>
      </c>
      <c r="G40" s="1310" t="s">
        <v>1964</v>
      </c>
      <c r="H40" s="1310" t="e">
        <f t="array" aca="1" ref="H40" ca="1">+_xludf.IFS(G40="Vehículo - Uso individual","Auto",G40="Vehículo - Uso compartido","Auto",G40="Transporte público","Bus",G40="Moto","Moto",G40="Bicicleta o caminando","Bicicleta")</f>
        <v>#NAME?</v>
      </c>
      <c r="I40" s="1310">
        <v>1</v>
      </c>
      <c r="J40" s="1310">
        <v>17</v>
      </c>
      <c r="K40" s="1312" t="e">
        <f t="shared" ca="1" si="0"/>
        <v>#NAME?</v>
      </c>
      <c r="L40" s="1315" t="e">
        <f ca="1">+K40*I40*VLOOKUP(H40,'Factores Emisión EDGE'!$K$267:$L$272,2,FALSE)/1000</f>
        <v>#NAME?</v>
      </c>
    </row>
    <row r="41" spans="1:12">
      <c r="A41" s="1314">
        <v>44650.38171736111</v>
      </c>
      <c r="B41" s="1310" t="s">
        <v>2036</v>
      </c>
      <c r="C41" s="1310" t="s">
        <v>2037</v>
      </c>
      <c r="D41" s="1310" t="s">
        <v>1951</v>
      </c>
      <c r="E41" s="1310" t="s">
        <v>1955</v>
      </c>
      <c r="F41" s="1310" t="e">
        <f t="array" aca="1" ref="F41" ca="1">+_xludf.IFS(E41="50% teletrabajo",0.5, E41="25% teletrabajo",0.75,E41="75% teletrabajo",0.25,E41="100% teletrabajo",0,E41="100% trabajo presencial",1)</f>
        <v>#NAME?</v>
      </c>
      <c r="G41" s="1310" t="s">
        <v>1952</v>
      </c>
      <c r="H41" s="1310" t="e">
        <f t="array" aca="1" ref="H41" ca="1">+_xludf.IFS(G41="Vehículo - Uso individual","Auto",G41="Vehículo - Uso compartido","Auto",G41="Transporte público","Bus",G41="Moto","Moto",G41="Bicicleta o caminando","Bicicleta")</f>
        <v>#NAME?</v>
      </c>
      <c r="I41" s="1310">
        <v>1</v>
      </c>
      <c r="J41" s="1310">
        <v>25</v>
      </c>
      <c r="K41" s="1312" t="e">
        <f t="shared" ca="1" si="0"/>
        <v>#NAME?</v>
      </c>
      <c r="L41" s="1315" t="e">
        <f ca="1">+K41*I41*VLOOKUP(H41,'Factores Emisión EDGE'!$K$267:$L$272,2,FALSE)/1000</f>
        <v>#NAME?</v>
      </c>
    </row>
    <row r="42" spans="1:12">
      <c r="A42" s="1314">
        <v>44650.381806793986</v>
      </c>
      <c r="B42" s="1310" t="s">
        <v>2038</v>
      </c>
      <c r="C42" s="1310" t="s">
        <v>2039</v>
      </c>
      <c r="D42" s="1310" t="s">
        <v>1951</v>
      </c>
      <c r="E42" s="1310" t="s">
        <v>868</v>
      </c>
      <c r="F42" s="1310" t="e">
        <f t="array" aca="1" ref="F42" ca="1">+_xludf.IFS(E42="50% teletrabajo",0.5, E42="25% teletrabajo",0.75,E42="75% teletrabajo",0.25,E42="100% teletrabajo",0,E42="100% trabajo presencial",1)</f>
        <v>#NAME?</v>
      </c>
      <c r="G42" s="1310" t="s">
        <v>1952</v>
      </c>
      <c r="H42" s="1310" t="e">
        <f t="array" aca="1" ref="H42" ca="1">+_xludf.IFS(G42="Vehículo - Uso individual","Auto",G42="Vehículo - Uso compartido","Auto",G42="Transporte público","Bus",G42="Moto","Moto",G42="Bicicleta o caminando","Bicicleta")</f>
        <v>#NAME?</v>
      </c>
      <c r="I42" s="1310">
        <v>1</v>
      </c>
      <c r="J42" s="1310">
        <v>40</v>
      </c>
      <c r="K42" s="1312" t="e">
        <f t="shared" ca="1" si="0"/>
        <v>#NAME?</v>
      </c>
      <c r="L42" s="1315" t="e">
        <f ca="1">+K42*I42*VLOOKUP(H42,'Factores Emisión EDGE'!$K$267:$L$272,2,FALSE)/1000</f>
        <v>#NAME?</v>
      </c>
    </row>
    <row r="43" spans="1:12">
      <c r="A43" s="1314">
        <v>44650.381908807874</v>
      </c>
      <c r="B43" s="1310" t="s">
        <v>2040</v>
      </c>
      <c r="C43" s="1310" t="s">
        <v>2041</v>
      </c>
      <c r="D43" s="1310" t="s">
        <v>1951</v>
      </c>
      <c r="E43" s="1310" t="s">
        <v>1965</v>
      </c>
      <c r="F43" s="1310" t="e">
        <f t="array" aca="1" ref="F43" ca="1">+_xludf.IFS(E43="50% teletrabajo",0.5, E43="25% teletrabajo",0.75,E43="75% teletrabajo",0.25,E43="100% teletrabajo",0,E43="100% trabajo presencial",1)</f>
        <v>#NAME?</v>
      </c>
      <c r="G43" s="1310" t="s">
        <v>1952</v>
      </c>
      <c r="H43" s="1310" t="e">
        <f t="array" aca="1" ref="H43" ca="1">+_xludf.IFS(G43="Vehículo - Uso individual","Auto",G43="Vehículo - Uso compartido","Auto",G43="Transporte público","Bus",G43="Moto","Moto",G43="Bicicleta o caminando","Bicicleta")</f>
        <v>#NAME?</v>
      </c>
      <c r="I43" s="1310">
        <v>1</v>
      </c>
      <c r="J43" s="1310">
        <v>13</v>
      </c>
      <c r="K43" s="1312" t="e">
        <f t="shared" ca="1" si="0"/>
        <v>#NAME?</v>
      </c>
      <c r="L43" s="1315" t="e">
        <f ca="1">+K43*I43*VLOOKUP(H43,'Factores Emisión EDGE'!$K$267:$L$272,2,FALSE)/1000</f>
        <v>#NAME?</v>
      </c>
    </row>
    <row r="44" spans="1:12">
      <c r="A44" s="1314">
        <v>44650.38200341435</v>
      </c>
      <c r="B44" s="1310" t="s">
        <v>2042</v>
      </c>
      <c r="C44" s="1310" t="s">
        <v>2043</v>
      </c>
      <c r="D44" s="1310" t="s">
        <v>1951</v>
      </c>
      <c r="E44" s="1310" t="s">
        <v>1955</v>
      </c>
      <c r="F44" s="1310" t="e">
        <f t="array" aca="1" ref="F44" ca="1">+_xludf.IFS(E44="50% teletrabajo",0.5, E44="25% teletrabajo",0.75,E44="75% teletrabajo",0.25,E44="100% teletrabajo",0,E44="100% trabajo presencial",1)</f>
        <v>#NAME?</v>
      </c>
      <c r="G44" s="1310" t="s">
        <v>1995</v>
      </c>
      <c r="H44" s="1310" t="e">
        <f t="array" aca="1" ref="H44" ca="1">+_xludf.IFS(G44="Vehículo - Uso individual","Auto",G44="Vehículo - Uso compartido","Auto",G44="Transporte público","Bus",G44="Moto","Moto",G44="Bicicleta o caminando","Bicicleta")</f>
        <v>#NAME?</v>
      </c>
      <c r="I44" s="1310">
        <v>0.25</v>
      </c>
      <c r="J44" s="1310">
        <v>42</v>
      </c>
      <c r="K44" s="1312" t="e">
        <f t="shared" ca="1" si="0"/>
        <v>#NAME?</v>
      </c>
      <c r="L44" s="1315" t="e">
        <f ca="1">+K44*I44*VLOOKUP(H44,'Factores Emisión EDGE'!$K$267:$L$272,2,FALSE)/1000</f>
        <v>#NAME?</v>
      </c>
    </row>
    <row r="45" spans="1:12">
      <c r="A45" s="1314">
        <v>44650.382021400466</v>
      </c>
      <c r="B45" s="1310" t="s">
        <v>2044</v>
      </c>
      <c r="C45" s="1310" t="s">
        <v>2045</v>
      </c>
      <c r="D45" s="1310" t="s">
        <v>1951</v>
      </c>
      <c r="E45" s="1310" t="s">
        <v>868</v>
      </c>
      <c r="F45" s="1310" t="e">
        <f t="array" aca="1" ref="F45" ca="1">+_xludf.IFS(E45="50% teletrabajo",0.5, E45="25% teletrabajo",0.75,E45="75% teletrabajo",0.25,E45="100% teletrabajo",0,E45="100% trabajo presencial",1)</f>
        <v>#NAME?</v>
      </c>
      <c r="G45" s="1310" t="s">
        <v>1995</v>
      </c>
      <c r="H45" s="1310" t="e">
        <f t="array" aca="1" ref="H45" ca="1">+_xludf.IFS(G45="Vehículo - Uso individual","Auto",G45="Vehículo - Uso compartido","Auto",G45="Transporte público","Bus",G45="Moto","Moto",G45="Bicicleta o caminando","Bicicleta")</f>
        <v>#NAME?</v>
      </c>
      <c r="I45" s="1310">
        <v>0.25</v>
      </c>
      <c r="J45" s="1310">
        <v>3.1</v>
      </c>
      <c r="K45" s="1312" t="e">
        <f t="shared" ca="1" si="0"/>
        <v>#NAME?</v>
      </c>
      <c r="L45" s="1315" t="e">
        <f ca="1">+K45*I45*VLOOKUP(H45,'Factores Emisión EDGE'!$K$267:$L$272,2,FALSE)/1000</f>
        <v>#NAME?</v>
      </c>
    </row>
    <row r="46" spans="1:12">
      <c r="A46" s="1314">
        <v>44650.382100960647</v>
      </c>
      <c r="B46" s="1310" t="s">
        <v>2046</v>
      </c>
      <c r="C46" s="1310" t="s">
        <v>2047</v>
      </c>
      <c r="D46" s="1310" t="s">
        <v>1951</v>
      </c>
      <c r="E46" s="1310" t="s">
        <v>868</v>
      </c>
      <c r="F46" s="1310" t="e">
        <f t="array" aca="1" ref="F46" ca="1">+_xludf.IFS(E46="50% teletrabajo",0.5, E46="25% teletrabajo",0.75,E46="75% teletrabajo",0.25,E46="100% teletrabajo",0,E46="100% trabajo presencial",1)</f>
        <v>#NAME?</v>
      </c>
      <c r="G46" s="1310" t="s">
        <v>1983</v>
      </c>
      <c r="H46" s="1310" t="e">
        <f t="array" aca="1" ref="H46" ca="1">+_xludf.IFS(G46="Vehículo - Uso individual","Auto",G46="Vehículo - Uso compartido","Auto",G46="Transporte público","Bus",G46="Moto","Moto",G46="Bicicleta o caminando","Bicicleta")</f>
        <v>#NAME?</v>
      </c>
      <c r="I46" s="1310">
        <v>1</v>
      </c>
      <c r="J46" s="1310">
        <v>3</v>
      </c>
      <c r="K46" s="1312" t="e">
        <f t="shared" ca="1" si="0"/>
        <v>#NAME?</v>
      </c>
      <c r="L46" s="1315" t="e">
        <f ca="1">+K46*I46*VLOOKUP(H46,'Factores Emisión EDGE'!$K$267:$L$272,2,FALSE)/1000</f>
        <v>#NAME?</v>
      </c>
    </row>
    <row r="47" spans="1:12">
      <c r="A47" s="1314">
        <v>44650.382217962964</v>
      </c>
      <c r="B47" s="1310" t="s">
        <v>2048</v>
      </c>
      <c r="C47" s="1310" t="s">
        <v>2049</v>
      </c>
      <c r="D47" s="1310" t="s">
        <v>1951</v>
      </c>
      <c r="E47" s="1310" t="s">
        <v>868</v>
      </c>
      <c r="F47" s="1310" t="e">
        <f t="array" aca="1" ref="F47" ca="1">+_xludf.IFS(E47="50% teletrabajo",0.5, E47="25% teletrabajo",0.75,E47="75% teletrabajo",0.25,E47="100% teletrabajo",0,E47="100% trabajo presencial",1)</f>
        <v>#NAME?</v>
      </c>
      <c r="G47" s="1310" t="s">
        <v>1952</v>
      </c>
      <c r="H47" s="1310" t="e">
        <f t="array" aca="1" ref="H47" ca="1">+_xludf.IFS(G47="Vehículo - Uso individual","Auto",G47="Vehículo - Uso compartido","Auto",G47="Transporte público","Bus",G47="Moto","Moto",G47="Bicicleta o caminando","Bicicleta")</f>
        <v>#NAME?</v>
      </c>
      <c r="I47" s="1310">
        <v>1</v>
      </c>
      <c r="J47" s="1310">
        <v>30</v>
      </c>
      <c r="K47" s="1312" t="e">
        <f t="shared" ca="1" si="0"/>
        <v>#NAME?</v>
      </c>
      <c r="L47" s="1315" t="e">
        <f ca="1">+K47*I47*VLOOKUP(H47,'Factores Emisión EDGE'!$K$267:$L$272,2,FALSE)/1000</f>
        <v>#NAME?</v>
      </c>
    </row>
    <row r="48" spans="1:12">
      <c r="A48" s="1314">
        <v>44650.382285254629</v>
      </c>
      <c r="B48" s="1310" t="s">
        <v>2050</v>
      </c>
      <c r="C48" s="1310" t="s">
        <v>2051</v>
      </c>
      <c r="D48" s="1310" t="s">
        <v>1951</v>
      </c>
      <c r="E48" s="1310" t="s">
        <v>1965</v>
      </c>
      <c r="F48" s="1310" t="e">
        <f t="array" aca="1" ref="F48" ca="1">+_xludf.IFS(E48="50% teletrabajo",0.5, E48="25% teletrabajo",0.75,E48="75% teletrabajo",0.25,E48="100% teletrabajo",0,E48="100% trabajo presencial",1)</f>
        <v>#NAME?</v>
      </c>
      <c r="G48" s="1310" t="s">
        <v>1964</v>
      </c>
      <c r="H48" s="1310" t="e">
        <f t="array" aca="1" ref="H48" ca="1">+_xludf.IFS(G48="Vehículo - Uso individual","Auto",G48="Vehículo - Uso compartido","Auto",G48="Transporte público","Bus",G48="Moto","Moto",G48="Bicicleta o caminando","Bicicleta")</f>
        <v>#NAME?</v>
      </c>
      <c r="I48" s="1310">
        <v>1</v>
      </c>
      <c r="J48" s="1310">
        <v>5.2</v>
      </c>
      <c r="K48" s="1312" t="e">
        <f t="shared" ca="1" si="0"/>
        <v>#NAME?</v>
      </c>
      <c r="L48" s="1315" t="e">
        <f ca="1">+K48*I48*VLOOKUP(H48,'Factores Emisión EDGE'!$K$267:$L$272,2,FALSE)/1000</f>
        <v>#NAME?</v>
      </c>
    </row>
    <row r="49" spans="1:12">
      <c r="A49" s="1314">
        <v>44650.382303622682</v>
      </c>
      <c r="B49" s="1310" t="s">
        <v>2052</v>
      </c>
      <c r="C49" s="1310" t="s">
        <v>2053</v>
      </c>
      <c r="D49" s="1310" t="s">
        <v>1951</v>
      </c>
      <c r="E49" s="1310" t="s">
        <v>1965</v>
      </c>
      <c r="F49" s="1310" t="e">
        <f t="array" aca="1" ref="F49" ca="1">+_xludf.IFS(E49="50% teletrabajo",0.5, E49="25% teletrabajo",0.75,E49="75% teletrabajo",0.25,E49="100% teletrabajo",0,E49="100% trabajo presencial",1)</f>
        <v>#NAME?</v>
      </c>
      <c r="G49" s="1310" t="s">
        <v>1995</v>
      </c>
      <c r="H49" s="1310" t="e">
        <f t="array" aca="1" ref="H49" ca="1">+_xludf.IFS(G49="Vehículo - Uso individual","Auto",G49="Vehículo - Uso compartido","Auto",G49="Transporte público","Bus",G49="Moto","Moto",G49="Bicicleta o caminando","Bicicleta")</f>
        <v>#NAME?</v>
      </c>
      <c r="I49" s="1310">
        <v>0.25</v>
      </c>
      <c r="J49" s="1310">
        <v>15</v>
      </c>
      <c r="K49" s="1312" t="e">
        <f t="shared" ca="1" si="0"/>
        <v>#NAME?</v>
      </c>
      <c r="L49" s="1315" t="e">
        <f ca="1">+K49*I49*VLOOKUP(H49,'Factores Emisión EDGE'!$K$267:$L$272,2,FALSE)/1000</f>
        <v>#NAME?</v>
      </c>
    </row>
    <row r="50" spans="1:12">
      <c r="A50" s="1314">
        <v>44650.382336828705</v>
      </c>
      <c r="B50" s="1310" t="s">
        <v>2054</v>
      </c>
      <c r="C50" s="1310" t="s">
        <v>2055</v>
      </c>
      <c r="D50" s="1310" t="s">
        <v>1951</v>
      </c>
      <c r="E50" s="1310" t="s">
        <v>1965</v>
      </c>
      <c r="F50" s="1310" t="e">
        <f t="array" aca="1" ref="F50" ca="1">+_xludf.IFS(E50="50% teletrabajo",0.5, E50="25% teletrabajo",0.75,E50="75% teletrabajo",0.25,E50="100% teletrabajo",0,E50="100% trabajo presencial",1)</f>
        <v>#NAME?</v>
      </c>
      <c r="G50" s="1310" t="s">
        <v>1964</v>
      </c>
      <c r="H50" s="1310" t="e">
        <f t="array" aca="1" ref="H50" ca="1">+_xludf.IFS(G50="Vehículo - Uso individual","Auto",G50="Vehículo - Uso compartido","Auto",G50="Transporte público","Bus",G50="Moto","Moto",G50="Bicicleta o caminando","Bicicleta")</f>
        <v>#NAME?</v>
      </c>
      <c r="I50" s="1310">
        <v>1</v>
      </c>
      <c r="J50" s="1310">
        <v>13</v>
      </c>
      <c r="K50" s="1312" t="e">
        <f t="shared" ca="1" si="0"/>
        <v>#NAME?</v>
      </c>
      <c r="L50" s="1315" t="e">
        <f ca="1">+K50*I50*VLOOKUP(H50,'Factores Emisión EDGE'!$K$267:$L$272,2,FALSE)/1000</f>
        <v>#NAME?</v>
      </c>
    </row>
    <row r="51" spans="1:12">
      <c r="A51" s="1314">
        <v>44650.382369236111</v>
      </c>
      <c r="B51" s="1310" t="s">
        <v>2056</v>
      </c>
      <c r="C51" s="1310" t="s">
        <v>2057</v>
      </c>
      <c r="D51" s="1310" t="s">
        <v>1951</v>
      </c>
      <c r="E51" s="1310" t="s">
        <v>1955</v>
      </c>
      <c r="F51" s="1310" t="e">
        <f t="array" aca="1" ref="F51" ca="1">+_xludf.IFS(E51="50% teletrabajo",0.5, E51="25% teletrabajo",0.75,E51="75% teletrabajo",0.25,E51="100% teletrabajo",0,E51="100% trabajo presencial",1)</f>
        <v>#NAME?</v>
      </c>
      <c r="G51" s="1310" t="s">
        <v>1964</v>
      </c>
      <c r="H51" s="1310" t="e">
        <f t="array" aca="1" ref="H51" ca="1">+_xludf.IFS(G51="Vehículo - Uso individual","Auto",G51="Vehículo - Uso compartido","Auto",G51="Transporte público","Bus",G51="Moto","Moto",G51="Bicicleta o caminando","Bicicleta")</f>
        <v>#NAME?</v>
      </c>
      <c r="I51" s="1310">
        <v>1</v>
      </c>
      <c r="J51" s="1310">
        <v>12</v>
      </c>
      <c r="K51" s="1312" t="e">
        <f t="shared" ca="1" si="0"/>
        <v>#NAME?</v>
      </c>
      <c r="L51" s="1315" t="e">
        <f ca="1">+K51*I51*VLOOKUP(H51,'Factores Emisión EDGE'!$K$267:$L$272,2,FALSE)/1000</f>
        <v>#NAME?</v>
      </c>
    </row>
    <row r="52" spans="1:12">
      <c r="A52" s="1318">
        <v>44650.382688252314</v>
      </c>
      <c r="B52" s="1319" t="s">
        <v>2058</v>
      </c>
      <c r="C52" s="1319" t="s">
        <v>2059</v>
      </c>
      <c r="D52" s="1319" t="s">
        <v>1951</v>
      </c>
      <c r="E52" s="1319" t="s">
        <v>872</v>
      </c>
      <c r="F52" s="1310" t="e">
        <f t="array" aca="1" ref="F52" ca="1">+_xludf.IFS(E52="50% teletrabajo",0.5, E52="25% teletrabajo",0.75,E52="75% teletrabajo",0.25,E52="100% teletrabajo",0,E52="100% trabajo presencial",1)</f>
        <v>#NAME?</v>
      </c>
      <c r="G52" s="1319" t="s">
        <v>1952</v>
      </c>
      <c r="H52" s="1310" t="e">
        <f t="array" aca="1" ref="H52" ca="1">+_xludf.IFS(G52="Vehículo - Uso individual","Auto",G52="Vehículo - Uso compartido","Auto",G52="Transporte público","Bus",G52="Moto","Moto",G52="Bicicleta o caminando","Bicicleta")</f>
        <v>#NAME?</v>
      </c>
      <c r="I52" s="1310">
        <v>1</v>
      </c>
      <c r="J52" s="1319">
        <v>5000</v>
      </c>
      <c r="K52" s="1312" t="e">
        <f ca="1">+J52*F52</f>
        <v>#NAME?</v>
      </c>
      <c r="L52" s="1315" t="e">
        <f ca="1">+K52*I52*VLOOKUP(H52,'Factores Emisión EDGE'!$K$267:$L$272,2,FALSE)/1000</f>
        <v>#NAME?</v>
      </c>
    </row>
    <row r="53" spans="1:12">
      <c r="A53" s="1314">
        <v>44650.382872175927</v>
      </c>
      <c r="B53" s="1310" t="s">
        <v>2060</v>
      </c>
      <c r="C53" s="1310" t="s">
        <v>2061</v>
      </c>
      <c r="D53" s="1310" t="s">
        <v>1951</v>
      </c>
      <c r="E53" s="1310" t="s">
        <v>1960</v>
      </c>
      <c r="F53" s="1310" t="e">
        <f t="array" aca="1" ref="F53" ca="1">+_xludf.IFS(E53="50% teletrabajo",0.5, E53="25% teletrabajo",0.75,E53="75% teletrabajo",0.25,E53="100% teletrabajo",0,E53="100% trabajo presencial",1)</f>
        <v>#NAME?</v>
      </c>
      <c r="G53" s="1310" t="s">
        <v>1964</v>
      </c>
      <c r="H53" s="1310" t="e">
        <f t="array" aca="1" ref="H53" ca="1">+_xludf.IFS(G53="Vehículo - Uso individual","Auto",G53="Vehículo - Uso compartido","Auto",G53="Transporte público","Bus",G53="Moto","Moto",G53="Bicicleta o caminando","Bicicleta")</f>
        <v>#NAME?</v>
      </c>
      <c r="I53" s="1310">
        <v>1</v>
      </c>
      <c r="J53" s="1310">
        <v>23.4</v>
      </c>
      <c r="K53" s="1312" t="e">
        <f t="shared" ref="K53:K63" ca="1" si="1">+J53*5*50*2*F53</f>
        <v>#NAME?</v>
      </c>
      <c r="L53" s="1315" t="e">
        <f ca="1">+K53*I53*VLOOKUP(H53,'Factores Emisión EDGE'!$K$267:$L$272,2,FALSE)/1000</f>
        <v>#NAME?</v>
      </c>
    </row>
    <row r="54" spans="1:12">
      <c r="A54" s="1314">
        <v>44650.382878055556</v>
      </c>
      <c r="B54" s="1310" t="s">
        <v>2062</v>
      </c>
      <c r="C54" s="1310" t="s">
        <v>2063</v>
      </c>
      <c r="D54" s="1310" t="s">
        <v>1951</v>
      </c>
      <c r="E54" s="1310" t="s">
        <v>1960</v>
      </c>
      <c r="F54" s="1310" t="e">
        <f t="array" aca="1" ref="F54" ca="1">+_xludf.IFS(E54="50% teletrabajo",0.5, E54="25% teletrabajo",0.75,E54="75% teletrabajo",0.25,E54="100% teletrabajo",0,E54="100% trabajo presencial",1)</f>
        <v>#NAME?</v>
      </c>
      <c r="G54" s="1310" t="s">
        <v>1952</v>
      </c>
      <c r="H54" s="1310" t="e">
        <f t="array" aca="1" ref="H54" ca="1">+_xludf.IFS(G54="Vehículo - Uso individual","Auto",G54="Vehículo - Uso compartido","Auto",G54="Transporte público","Bus",G54="Moto","Moto",G54="Bicicleta o caminando","Bicicleta")</f>
        <v>#NAME?</v>
      </c>
      <c r="I54" s="1310">
        <v>1</v>
      </c>
      <c r="J54" s="1310">
        <v>25</v>
      </c>
      <c r="K54" s="1312" t="e">
        <f t="shared" ca="1" si="1"/>
        <v>#NAME?</v>
      </c>
      <c r="L54" s="1315" t="e">
        <f ca="1">+K54*I54*VLOOKUP(H54,'Factores Emisión EDGE'!$K$267:$L$272,2,FALSE)/1000</f>
        <v>#NAME?</v>
      </c>
    </row>
    <row r="55" spans="1:12">
      <c r="A55" s="1314">
        <v>44650.382902858793</v>
      </c>
      <c r="B55" s="1310" t="s">
        <v>2064</v>
      </c>
      <c r="C55" s="1310" t="s">
        <v>2065</v>
      </c>
      <c r="D55" s="1310" t="s">
        <v>2066</v>
      </c>
      <c r="E55" s="1310" t="s">
        <v>1965</v>
      </c>
      <c r="F55" s="1310" t="e">
        <f t="array" aca="1" ref="F55" ca="1">+_xludf.IFS(E55="50% teletrabajo",0.5, E55="25% teletrabajo",0.75,E55="75% teletrabajo",0.25,E55="100% teletrabajo",0,E55="100% trabajo presencial",1)</f>
        <v>#NAME?</v>
      </c>
      <c r="G55" s="1310" t="s">
        <v>1952</v>
      </c>
      <c r="H55" s="1310" t="e">
        <f t="array" aca="1" ref="H55" ca="1">+_xludf.IFS(G55="Vehículo - Uso individual","Auto",G55="Vehículo - Uso compartido","Auto",G55="Transporte público","Bus",G55="Moto","Moto",G55="Bicicleta o caminando","Bicicleta")</f>
        <v>#NAME?</v>
      </c>
      <c r="I55" s="1310">
        <v>1</v>
      </c>
      <c r="J55" s="1310">
        <v>40</v>
      </c>
      <c r="K55" s="1312" t="e">
        <f t="shared" ca="1" si="1"/>
        <v>#NAME?</v>
      </c>
      <c r="L55" s="1315" t="e">
        <f ca="1">+K55*I55*VLOOKUP(H55,'Factores Emisión EDGE'!$K$267:$L$272,2,FALSE)/1000</f>
        <v>#NAME?</v>
      </c>
    </row>
    <row r="56" spans="1:12">
      <c r="A56" s="1314">
        <v>44650.382988124999</v>
      </c>
      <c r="B56" s="1310" t="s">
        <v>2067</v>
      </c>
      <c r="C56" s="1310" t="s">
        <v>2068</v>
      </c>
      <c r="D56" s="1310" t="s">
        <v>1951</v>
      </c>
      <c r="E56" s="1310" t="s">
        <v>872</v>
      </c>
      <c r="F56" s="1310" t="e">
        <f t="array" aca="1" ref="F56" ca="1">+_xludf.IFS(E56="50% teletrabajo",0.5, E56="25% teletrabajo",0.75,E56="75% teletrabajo",0.25,E56="100% teletrabajo",0,E56="100% trabajo presencial",1)</f>
        <v>#NAME?</v>
      </c>
      <c r="G56" s="1310" t="s">
        <v>1995</v>
      </c>
      <c r="H56" s="1310" t="e">
        <f t="array" aca="1" ref="H56" ca="1">+_xludf.IFS(G56="Vehículo - Uso individual","Auto",G56="Vehículo - Uso compartido","Auto",G56="Transporte público","Bus",G56="Moto","Moto",G56="Bicicleta o caminando","Bicicleta")</f>
        <v>#NAME?</v>
      </c>
      <c r="I56" s="1310">
        <v>0.25</v>
      </c>
      <c r="J56" s="1310">
        <v>7.2</v>
      </c>
      <c r="K56" s="1312" t="e">
        <f t="shared" ca="1" si="1"/>
        <v>#NAME?</v>
      </c>
      <c r="L56" s="1315" t="e">
        <f ca="1">+K56*I56*VLOOKUP(H56,'Factores Emisión EDGE'!$K$267:$L$272,2,FALSE)/1000</f>
        <v>#NAME?</v>
      </c>
    </row>
    <row r="57" spans="1:12">
      <c r="A57" s="1314">
        <v>44650.383069965275</v>
      </c>
      <c r="B57" s="1310" t="s">
        <v>2069</v>
      </c>
      <c r="C57" s="1310" t="s">
        <v>2070</v>
      </c>
      <c r="D57" s="1310" t="s">
        <v>1951</v>
      </c>
      <c r="E57" s="1310" t="s">
        <v>868</v>
      </c>
      <c r="F57" s="1310" t="e">
        <f t="array" aca="1" ref="F57" ca="1">+_xludf.IFS(E57="50% teletrabajo",0.5, E57="25% teletrabajo",0.75,E57="75% teletrabajo",0.25,E57="100% teletrabajo",0,E57="100% trabajo presencial",1)</f>
        <v>#NAME?</v>
      </c>
      <c r="G57" s="1310" t="s">
        <v>1964</v>
      </c>
      <c r="H57" s="1310" t="e">
        <f t="array" aca="1" ref="H57" ca="1">+_xludf.IFS(G57="Vehículo - Uso individual","Auto",G57="Vehículo - Uso compartido","Auto",G57="Transporte público","Bus",G57="Moto","Moto",G57="Bicicleta o caminando","Bicicleta")</f>
        <v>#NAME?</v>
      </c>
      <c r="I57" s="1310">
        <v>1</v>
      </c>
      <c r="J57" s="1310">
        <v>30</v>
      </c>
      <c r="K57" s="1312" t="e">
        <f t="shared" ca="1" si="1"/>
        <v>#NAME?</v>
      </c>
      <c r="L57" s="1315" t="e">
        <f ca="1">+K57*I57*VLOOKUP(H57,'Factores Emisión EDGE'!$K$267:$L$272,2,FALSE)/1000</f>
        <v>#NAME?</v>
      </c>
    </row>
    <row r="58" spans="1:12">
      <c r="A58" s="1314">
        <v>44650.383080069441</v>
      </c>
      <c r="B58" s="1310" t="s">
        <v>2071</v>
      </c>
      <c r="C58" s="1310" t="s">
        <v>2072</v>
      </c>
      <c r="D58" s="1310" t="s">
        <v>1951</v>
      </c>
      <c r="E58" s="1310" t="s">
        <v>868</v>
      </c>
      <c r="F58" s="1310" t="e">
        <f t="array" aca="1" ref="F58" ca="1">+_xludf.IFS(E58="50% teletrabajo",0.5, E58="25% teletrabajo",0.75,E58="75% teletrabajo",0.25,E58="100% teletrabajo",0,E58="100% trabajo presencial",1)</f>
        <v>#NAME?</v>
      </c>
      <c r="G58" s="1310" t="s">
        <v>1952</v>
      </c>
      <c r="H58" s="1310" t="e">
        <f t="array" aca="1" ref="H58" ca="1">+_xludf.IFS(G58="Vehículo - Uso individual","Auto",G58="Vehículo - Uso compartido","Auto",G58="Transporte público","Bus",G58="Moto","Moto",G58="Bicicleta o caminando","Bicicleta")</f>
        <v>#NAME?</v>
      </c>
      <c r="I58" s="1310">
        <v>1</v>
      </c>
      <c r="J58" s="1310">
        <v>25</v>
      </c>
      <c r="K58" s="1312" t="e">
        <f t="shared" ca="1" si="1"/>
        <v>#NAME?</v>
      </c>
      <c r="L58" s="1315" t="e">
        <f ca="1">+K58*I58*VLOOKUP(H58,'Factores Emisión EDGE'!$K$267:$L$272,2,FALSE)/1000</f>
        <v>#NAME?</v>
      </c>
    </row>
    <row r="59" spans="1:12">
      <c r="A59" s="1314">
        <v>44650.383104386579</v>
      </c>
      <c r="B59" s="1310" t="s">
        <v>2073</v>
      </c>
      <c r="C59" s="1310" t="s">
        <v>2074</v>
      </c>
      <c r="D59" s="1310" t="s">
        <v>1951</v>
      </c>
      <c r="E59" s="1310" t="s">
        <v>868</v>
      </c>
      <c r="F59" s="1310" t="e">
        <f t="array" aca="1" ref="F59" ca="1">+_xludf.IFS(E59="50% teletrabajo",0.5, E59="25% teletrabajo",0.75,E59="75% teletrabajo",0.25,E59="100% teletrabajo",0,E59="100% trabajo presencial",1)</f>
        <v>#NAME?</v>
      </c>
      <c r="G59" s="1310" t="s">
        <v>1952</v>
      </c>
      <c r="H59" s="1310" t="e">
        <f t="array" aca="1" ref="H59" ca="1">+_xludf.IFS(G59="Vehículo - Uso individual","Auto",G59="Vehículo - Uso compartido","Auto",G59="Transporte público","Bus",G59="Moto","Moto",G59="Bicicleta o caminando","Bicicleta")</f>
        <v>#NAME?</v>
      </c>
      <c r="I59" s="1310">
        <v>1</v>
      </c>
      <c r="J59" s="1310">
        <v>40</v>
      </c>
      <c r="K59" s="1312" t="e">
        <f t="shared" ca="1" si="1"/>
        <v>#NAME?</v>
      </c>
      <c r="L59" s="1315" t="e">
        <f ca="1">+K59*I59*VLOOKUP(H59,'Factores Emisión EDGE'!$K$267:$L$272,2,FALSE)/1000</f>
        <v>#NAME?</v>
      </c>
    </row>
    <row r="60" spans="1:12">
      <c r="A60" s="1314">
        <v>44650.383106990739</v>
      </c>
      <c r="B60" s="1310" t="s">
        <v>2075</v>
      </c>
      <c r="C60" s="1310" t="s">
        <v>2076</v>
      </c>
      <c r="D60" s="1310" t="s">
        <v>1951</v>
      </c>
      <c r="E60" s="1310" t="s">
        <v>868</v>
      </c>
      <c r="F60" s="1310" t="e">
        <f t="array" aca="1" ref="F60" ca="1">+_xludf.IFS(E60="50% teletrabajo",0.5, E60="25% teletrabajo",0.75,E60="75% teletrabajo",0.25,E60="100% teletrabajo",0,E60="100% trabajo presencial",1)</f>
        <v>#NAME?</v>
      </c>
      <c r="G60" s="1310" t="s">
        <v>1952</v>
      </c>
      <c r="H60" s="1310" t="e">
        <f t="array" aca="1" ref="H60" ca="1">+_xludf.IFS(G60="Vehículo - Uso individual","Auto",G60="Vehículo - Uso compartido","Auto",G60="Transporte público","Bus",G60="Moto","Moto",G60="Bicicleta o caminando","Bicicleta")</f>
        <v>#NAME?</v>
      </c>
      <c r="I60" s="1310">
        <v>1</v>
      </c>
      <c r="J60" s="1310">
        <v>10</v>
      </c>
      <c r="K60" s="1312" t="e">
        <f t="shared" ca="1" si="1"/>
        <v>#NAME?</v>
      </c>
      <c r="L60" s="1315" t="e">
        <f ca="1">+K60*I60*VLOOKUP(H60,'Factores Emisión EDGE'!$K$267:$L$272,2,FALSE)/1000</f>
        <v>#NAME?</v>
      </c>
    </row>
    <row r="61" spans="1:12">
      <c r="A61" s="1318">
        <v>44650.383287962963</v>
      </c>
      <c r="B61" s="1319" t="s">
        <v>2077</v>
      </c>
      <c r="C61" s="1319" t="s">
        <v>2078</v>
      </c>
      <c r="D61" s="1319" t="s">
        <v>1951</v>
      </c>
      <c r="E61" s="1319" t="s">
        <v>1960</v>
      </c>
      <c r="F61" s="1310" t="e">
        <f t="array" aca="1" ref="F61" ca="1">+_xludf.IFS(E61="50% teletrabajo",0.5, E61="25% teletrabajo",0.75,E61="75% teletrabajo",0.25,E61="100% teletrabajo",0,E61="100% trabajo presencial",1)</f>
        <v>#NAME?</v>
      </c>
      <c r="G61" s="1319" t="s">
        <v>863</v>
      </c>
      <c r="H61" s="1310" t="e">
        <f t="array" aca="1" ref="H61" ca="1">+_xludf.IFS(G61="Vehículo - Uso individual","Auto",G61="Vehículo - Uso compartido","Auto",G61="Transporte público","Bus",G61="Moto","Moto",G61="Bicicleta o caminando","Bicicleta")</f>
        <v>#NAME?</v>
      </c>
      <c r="I61" s="1310">
        <v>1</v>
      </c>
      <c r="J61" s="1319">
        <v>7000</v>
      </c>
      <c r="K61" s="1312" t="e">
        <f t="shared" ca="1" si="1"/>
        <v>#NAME?</v>
      </c>
      <c r="L61" s="1315" t="e">
        <f ca="1">+K61*I61*VLOOKUP(H61,'Factores Emisión EDGE'!$K$267:$L$272,2,FALSE)/1000</f>
        <v>#NAME?</v>
      </c>
    </row>
    <row r="62" spans="1:12">
      <c r="A62" s="1314">
        <v>44650.383371446762</v>
      </c>
      <c r="B62" s="1310" t="s">
        <v>2079</v>
      </c>
      <c r="C62" s="1310" t="s">
        <v>2080</v>
      </c>
      <c r="D62" s="1310" t="s">
        <v>1951</v>
      </c>
      <c r="E62" s="1310" t="s">
        <v>868</v>
      </c>
      <c r="F62" s="1310" t="e">
        <f t="array" aca="1" ref="F62" ca="1">+_xludf.IFS(E62="50% teletrabajo",0.5, E62="25% teletrabajo",0.75,E62="75% teletrabajo",0.25,E62="100% teletrabajo",0,E62="100% trabajo presencial",1)</f>
        <v>#NAME?</v>
      </c>
      <c r="G62" s="1310" t="s">
        <v>1952</v>
      </c>
      <c r="H62" s="1310" t="e">
        <f t="array" aca="1" ref="H62" ca="1">+_xludf.IFS(G62="Vehículo - Uso individual","Auto",G62="Vehículo - Uso compartido","Auto",G62="Transporte público","Bus",G62="Moto","Moto",G62="Bicicleta o caminando","Bicicleta")</f>
        <v>#NAME?</v>
      </c>
      <c r="I62" s="1310">
        <v>1</v>
      </c>
      <c r="J62" s="1310">
        <v>16</v>
      </c>
      <c r="K62" s="1312" t="e">
        <f t="shared" ca="1" si="1"/>
        <v>#NAME?</v>
      </c>
      <c r="L62" s="1315" t="e">
        <f ca="1">+K62*I62*VLOOKUP(H62,'Factores Emisión EDGE'!$K$267:$L$272,2,FALSE)/1000</f>
        <v>#NAME?</v>
      </c>
    </row>
    <row r="63" spans="1:12">
      <c r="A63" s="1314">
        <v>44650.383375138888</v>
      </c>
      <c r="B63" s="1310" t="s">
        <v>2081</v>
      </c>
      <c r="C63" s="1310" t="s">
        <v>2082</v>
      </c>
      <c r="D63" s="1310" t="s">
        <v>1951</v>
      </c>
      <c r="E63" s="1310" t="s">
        <v>1965</v>
      </c>
      <c r="F63" s="1310" t="e">
        <f t="array" aca="1" ref="F63" ca="1">+_xludf.IFS(E63="50% teletrabajo",0.5, E63="25% teletrabajo",0.75,E63="75% teletrabajo",0.25,E63="100% teletrabajo",0,E63="100% trabajo presencial",1)</f>
        <v>#NAME?</v>
      </c>
      <c r="G63" s="1310" t="s">
        <v>1995</v>
      </c>
      <c r="H63" s="1310" t="e">
        <f t="array" aca="1" ref="H63" ca="1">+_xludf.IFS(G63="Vehículo - Uso individual","Auto",G63="Vehículo - Uso compartido","Auto",G63="Transporte público","Bus",G63="Moto","Moto",G63="Bicicleta o caminando","Bicicleta")</f>
        <v>#NAME?</v>
      </c>
      <c r="I63" s="1310">
        <v>0.25</v>
      </c>
      <c r="J63" s="1310">
        <v>30</v>
      </c>
      <c r="K63" s="1312" t="e">
        <f t="shared" ca="1" si="1"/>
        <v>#NAME?</v>
      </c>
      <c r="L63" s="1315" t="e">
        <f ca="1">+K63*I63*VLOOKUP(H63,'Factores Emisión EDGE'!$K$267:$L$272,2,FALSE)/1000</f>
        <v>#NAME?</v>
      </c>
    </row>
    <row r="64" spans="1:12">
      <c r="A64" s="1314">
        <v>44650.383415462959</v>
      </c>
      <c r="B64" s="1310" t="s">
        <v>2083</v>
      </c>
      <c r="C64" s="1310" t="s">
        <v>2084</v>
      </c>
      <c r="D64" s="1310" t="s">
        <v>1951</v>
      </c>
      <c r="E64" s="1310" t="s">
        <v>868</v>
      </c>
      <c r="F64" s="1310" t="e">
        <f t="array" aca="1" ref="F64" ca="1">+_xludf.IFS(E64="50% teletrabajo",0.5, E64="25% teletrabajo",0.75,E64="75% teletrabajo",0.25,E64="100% teletrabajo",0,E64="100% trabajo presencial",1)</f>
        <v>#NAME?</v>
      </c>
      <c r="G64" s="1310" t="s">
        <v>1952</v>
      </c>
      <c r="H64" s="1310" t="e">
        <f t="array" aca="1" ref="H64" ca="1">+_xludf.IFS(G64="Vehículo - Uso individual","Auto",G64="Vehículo - Uso compartido","Auto",G64="Transporte público","Bus",G64="Moto","Moto",G64="Bicicleta o caminando","Bicicleta")</f>
        <v>#NAME?</v>
      </c>
      <c r="I64" s="1310">
        <v>1</v>
      </c>
      <c r="J64" s="1310">
        <v>1490</v>
      </c>
      <c r="K64" s="1312" t="e">
        <f ca="1">+J64*F64</f>
        <v>#NAME?</v>
      </c>
      <c r="L64" s="1315" t="e">
        <f ca="1">+K64*I64*VLOOKUP(H64,'Factores Emisión EDGE'!$K$267:$L$272,2,FALSE)/1000</f>
        <v>#NAME?</v>
      </c>
    </row>
    <row r="65" spans="1:12">
      <c r="A65" s="1314">
        <v>44650.383527881946</v>
      </c>
      <c r="B65" s="1310" t="s">
        <v>2085</v>
      </c>
      <c r="C65" s="1310" t="s">
        <v>2086</v>
      </c>
      <c r="D65" s="1310" t="s">
        <v>1951</v>
      </c>
      <c r="E65" s="1310" t="s">
        <v>1960</v>
      </c>
      <c r="F65" s="1310" t="e">
        <f t="array" aca="1" ref="F65" ca="1">+_xludf.IFS(E65="50% teletrabajo",0.5, E65="25% teletrabajo",0.75,E65="75% teletrabajo",0.25,E65="100% teletrabajo",0,E65="100% trabajo presencial",1)</f>
        <v>#NAME?</v>
      </c>
      <c r="G65" s="1310" t="s">
        <v>1964</v>
      </c>
      <c r="H65" s="1310" t="e">
        <f t="array" aca="1" ref="H65" ca="1">+_xludf.IFS(G65="Vehículo - Uso individual","Auto",G65="Vehículo - Uso compartido","Auto",G65="Transporte público","Bus",G65="Moto","Moto",G65="Bicicleta o caminando","Bicicleta")</f>
        <v>#NAME?</v>
      </c>
      <c r="I65" s="1310">
        <v>1</v>
      </c>
      <c r="J65" s="1310">
        <v>15</v>
      </c>
      <c r="K65" s="1312" t="e">
        <f t="shared" ref="K65:K97" ca="1" si="2">+J65*5*50*2*F65</f>
        <v>#NAME?</v>
      </c>
      <c r="L65" s="1315" t="e">
        <f ca="1">+K65*I65*VLOOKUP(H65,'Factores Emisión EDGE'!$K$267:$L$272,2,FALSE)/1000</f>
        <v>#NAME?</v>
      </c>
    </row>
    <row r="66" spans="1:12">
      <c r="A66" s="1314">
        <v>44650.383741921294</v>
      </c>
      <c r="B66" s="1310" t="s">
        <v>2087</v>
      </c>
      <c r="C66" s="1310" t="s">
        <v>2088</v>
      </c>
      <c r="D66" s="1310" t="s">
        <v>1951</v>
      </c>
      <c r="E66" s="1310" t="s">
        <v>1960</v>
      </c>
      <c r="F66" s="1310" t="e">
        <f t="array" aca="1" ref="F66" ca="1">+_xludf.IFS(E66="50% teletrabajo",0.5, E66="25% teletrabajo",0.75,E66="75% teletrabajo",0.25,E66="100% teletrabajo",0,E66="100% trabajo presencial",1)</f>
        <v>#NAME?</v>
      </c>
      <c r="G66" s="1310" t="s">
        <v>1952</v>
      </c>
      <c r="H66" s="1310" t="e">
        <f t="array" aca="1" ref="H66" ca="1">+_xludf.IFS(G66="Vehículo - Uso individual","Auto",G66="Vehículo - Uso compartido","Auto",G66="Transporte público","Bus",G66="Moto","Moto",G66="Bicicleta o caminando","Bicicleta")</f>
        <v>#NAME?</v>
      </c>
      <c r="I66" s="1310">
        <v>1</v>
      </c>
      <c r="J66" s="1310">
        <v>0</v>
      </c>
      <c r="K66" s="1312" t="e">
        <f t="shared" ca="1" si="2"/>
        <v>#NAME?</v>
      </c>
      <c r="L66" s="1315" t="e">
        <f ca="1">+K66*I66*VLOOKUP(H66,'Factores Emisión EDGE'!$K$267:$L$272,2,FALSE)/1000</f>
        <v>#NAME?</v>
      </c>
    </row>
    <row r="67" spans="1:12">
      <c r="A67" s="1314">
        <v>44650.383809907406</v>
      </c>
      <c r="B67" s="1310" t="s">
        <v>2089</v>
      </c>
      <c r="C67" s="1310" t="s">
        <v>2090</v>
      </c>
      <c r="D67" s="1310" t="s">
        <v>1951</v>
      </c>
      <c r="E67" s="1310" t="s">
        <v>1960</v>
      </c>
      <c r="F67" s="1310" t="e">
        <f t="array" aca="1" ref="F67" ca="1">+_xludf.IFS(E67="50% teletrabajo",0.5, E67="25% teletrabajo",0.75,E67="75% teletrabajo",0.25,E67="100% teletrabajo",0,E67="100% trabajo presencial",1)</f>
        <v>#NAME?</v>
      </c>
      <c r="G67" s="1310" t="s">
        <v>1964</v>
      </c>
      <c r="H67" s="1310" t="e">
        <f t="array" aca="1" ref="H67" ca="1">+_xludf.IFS(G67="Vehículo - Uso individual","Auto",G67="Vehículo - Uso compartido","Auto",G67="Transporte público","Bus",G67="Moto","Moto",G67="Bicicleta o caminando","Bicicleta")</f>
        <v>#NAME?</v>
      </c>
      <c r="I67" s="1310">
        <v>1</v>
      </c>
      <c r="J67" s="1310">
        <v>15</v>
      </c>
      <c r="K67" s="1312" t="e">
        <f t="shared" ca="1" si="2"/>
        <v>#NAME?</v>
      </c>
      <c r="L67" s="1315" t="e">
        <f ca="1">+K67*I67*VLOOKUP(H67,'Factores Emisión EDGE'!$K$267:$L$272,2,FALSE)/1000</f>
        <v>#NAME?</v>
      </c>
    </row>
    <row r="68" spans="1:12">
      <c r="A68" s="1314">
        <v>44650.383834629625</v>
      </c>
      <c r="B68" s="1310" t="s">
        <v>2091</v>
      </c>
      <c r="C68" s="1310" t="s">
        <v>2092</v>
      </c>
      <c r="D68" s="1310" t="s">
        <v>1951</v>
      </c>
      <c r="E68" s="1310" t="s">
        <v>868</v>
      </c>
      <c r="F68" s="1310" t="e">
        <f t="array" aca="1" ref="F68" ca="1">+_xludf.IFS(E68="50% teletrabajo",0.5, E68="25% teletrabajo",0.75,E68="75% teletrabajo",0.25,E68="100% teletrabajo",0,E68="100% trabajo presencial",1)</f>
        <v>#NAME?</v>
      </c>
      <c r="G68" s="1310" t="s">
        <v>863</v>
      </c>
      <c r="H68" s="1310" t="e">
        <f t="array" aca="1" ref="H68" ca="1">+_xludf.IFS(G68="Vehículo - Uso individual","Auto",G68="Vehículo - Uso compartido","Auto",G68="Transporte público","Bus",G68="Moto","Moto",G68="Bicicleta o caminando","Bicicleta")</f>
        <v>#NAME?</v>
      </c>
      <c r="I68" s="1310">
        <v>1</v>
      </c>
      <c r="J68" s="1310">
        <v>9</v>
      </c>
      <c r="K68" s="1312" t="e">
        <f t="shared" ca="1" si="2"/>
        <v>#NAME?</v>
      </c>
      <c r="L68" s="1315" t="e">
        <f ca="1">+K68*I68*VLOOKUP(H68,'Factores Emisión EDGE'!$K$267:$L$272,2,FALSE)/1000</f>
        <v>#NAME?</v>
      </c>
    </row>
    <row r="69" spans="1:12">
      <c r="A69" s="1314">
        <v>44650.384251099538</v>
      </c>
      <c r="B69" s="1310" t="s">
        <v>2093</v>
      </c>
      <c r="C69" s="1310" t="s">
        <v>2094</v>
      </c>
      <c r="D69" s="1310" t="s">
        <v>1951</v>
      </c>
      <c r="E69" s="1310" t="s">
        <v>1960</v>
      </c>
      <c r="F69" s="1310" t="e">
        <f t="array" aca="1" ref="F69" ca="1">+_xludf.IFS(E69="50% teletrabajo",0.5, E69="25% teletrabajo",0.75,E69="75% teletrabajo",0.25,E69="100% teletrabajo",0,E69="100% trabajo presencial",1)</f>
        <v>#NAME?</v>
      </c>
      <c r="G69" s="1310" t="s">
        <v>1952</v>
      </c>
      <c r="H69" s="1310" t="e">
        <f t="array" aca="1" ref="H69" ca="1">+_xludf.IFS(G69="Vehículo - Uso individual","Auto",G69="Vehículo - Uso compartido","Auto",G69="Transporte público","Bus",G69="Moto","Moto",G69="Bicicleta o caminando","Bicicleta")</f>
        <v>#NAME?</v>
      </c>
      <c r="I69" s="1310">
        <v>1</v>
      </c>
      <c r="J69" s="1310">
        <v>35</v>
      </c>
      <c r="K69" s="1312" t="e">
        <f t="shared" ca="1" si="2"/>
        <v>#NAME?</v>
      </c>
      <c r="L69" s="1315" t="e">
        <f ca="1">+K69*I69*VLOOKUP(H69,'Factores Emisión EDGE'!$K$267:$L$272,2,FALSE)/1000</f>
        <v>#NAME?</v>
      </c>
    </row>
    <row r="70" spans="1:12">
      <c r="A70" s="1314">
        <v>44650.38427894676</v>
      </c>
      <c r="B70" s="1310" t="s">
        <v>2095</v>
      </c>
      <c r="C70" s="1310" t="s">
        <v>2096</v>
      </c>
      <c r="D70" s="1310" t="s">
        <v>1951</v>
      </c>
      <c r="E70" s="1310" t="s">
        <v>868</v>
      </c>
      <c r="F70" s="1310" t="e">
        <f t="array" aca="1" ref="F70" ca="1">+_xludf.IFS(E70="50% teletrabajo",0.5, E70="25% teletrabajo",0.75,E70="75% teletrabajo",0.25,E70="100% teletrabajo",0,E70="100% trabajo presencial",1)</f>
        <v>#NAME?</v>
      </c>
      <c r="G70" s="1310" t="s">
        <v>1952</v>
      </c>
      <c r="H70" s="1310" t="e">
        <f t="array" aca="1" ref="H70" ca="1">+_xludf.IFS(G70="Vehículo - Uso individual","Auto",G70="Vehículo - Uso compartido","Auto",G70="Transporte público","Bus",G70="Moto","Moto",G70="Bicicleta o caminando","Bicicleta")</f>
        <v>#NAME?</v>
      </c>
      <c r="I70" s="1310">
        <v>1</v>
      </c>
      <c r="J70" s="1310">
        <v>12</v>
      </c>
      <c r="K70" s="1312" t="e">
        <f t="shared" ca="1" si="2"/>
        <v>#NAME?</v>
      </c>
      <c r="L70" s="1315" t="e">
        <f ca="1">+K70*I70*VLOOKUP(H70,'Factores Emisión EDGE'!$K$267:$L$272,2,FALSE)/1000</f>
        <v>#NAME?</v>
      </c>
    </row>
    <row r="71" spans="1:12">
      <c r="A71" s="1314">
        <v>44650.384359571763</v>
      </c>
      <c r="B71" s="1310" t="s">
        <v>2097</v>
      </c>
      <c r="C71" s="1310" t="s">
        <v>2098</v>
      </c>
      <c r="D71" s="1310" t="s">
        <v>1951</v>
      </c>
      <c r="E71" s="1310" t="s">
        <v>1960</v>
      </c>
      <c r="F71" s="1310" t="e">
        <f t="array" aca="1" ref="F71" ca="1">+_xludf.IFS(E71="50% teletrabajo",0.5, E71="25% teletrabajo",0.75,E71="75% teletrabajo",0.25,E71="100% teletrabajo",0,E71="100% trabajo presencial",1)</f>
        <v>#NAME?</v>
      </c>
      <c r="G71" s="1310" t="s">
        <v>1952</v>
      </c>
      <c r="H71" s="1310" t="e">
        <f t="array" aca="1" ref="H71" ca="1">+_xludf.IFS(G71="Vehículo - Uso individual","Auto",G71="Vehículo - Uso compartido","Auto",G71="Transporte público","Bus",G71="Moto","Moto",G71="Bicicleta o caminando","Bicicleta")</f>
        <v>#NAME?</v>
      </c>
      <c r="I71" s="1310">
        <v>1</v>
      </c>
      <c r="J71" s="1310">
        <v>30</v>
      </c>
      <c r="K71" s="1312" t="e">
        <f t="shared" ca="1" si="2"/>
        <v>#NAME?</v>
      </c>
      <c r="L71" s="1315" t="e">
        <f ca="1">+K71*I71*VLOOKUP(H71,'Factores Emisión EDGE'!$K$267:$L$272,2,FALSE)/1000</f>
        <v>#NAME?</v>
      </c>
    </row>
    <row r="72" spans="1:12">
      <c r="A72" s="1314">
        <v>44650.384694907407</v>
      </c>
      <c r="B72" s="1310" t="s">
        <v>2099</v>
      </c>
      <c r="C72" s="1310" t="s">
        <v>2100</v>
      </c>
      <c r="D72" s="1310" t="s">
        <v>1951</v>
      </c>
      <c r="E72" s="1310" t="s">
        <v>1965</v>
      </c>
      <c r="F72" s="1310" t="e">
        <f t="array" aca="1" ref="F72" ca="1">+_xludf.IFS(E72="50% teletrabajo",0.5, E72="25% teletrabajo",0.75,E72="75% teletrabajo",0.25,E72="100% teletrabajo",0,E72="100% trabajo presencial",1)</f>
        <v>#NAME?</v>
      </c>
      <c r="G72" s="1310" t="s">
        <v>1952</v>
      </c>
      <c r="H72" s="1310" t="e">
        <f t="array" aca="1" ref="H72" ca="1">+_xludf.IFS(G72="Vehículo - Uso individual","Auto",G72="Vehículo - Uso compartido","Auto",G72="Transporte público","Bus",G72="Moto","Moto",G72="Bicicleta o caminando","Bicicleta")</f>
        <v>#NAME?</v>
      </c>
      <c r="I72" s="1310">
        <v>1</v>
      </c>
      <c r="J72" s="1310">
        <v>15</v>
      </c>
      <c r="K72" s="1312" t="e">
        <f t="shared" ca="1" si="2"/>
        <v>#NAME?</v>
      </c>
      <c r="L72" s="1315" t="e">
        <f ca="1">+K72*I72*VLOOKUP(H72,'Factores Emisión EDGE'!$K$267:$L$272,2,FALSE)/1000</f>
        <v>#NAME?</v>
      </c>
    </row>
    <row r="73" spans="1:12">
      <c r="A73" s="1314">
        <v>44650.384720821763</v>
      </c>
      <c r="B73" s="1310" t="s">
        <v>2101</v>
      </c>
      <c r="C73" s="1310" t="s">
        <v>2102</v>
      </c>
      <c r="D73" s="1310" t="s">
        <v>1951</v>
      </c>
      <c r="E73" s="1310" t="s">
        <v>868</v>
      </c>
      <c r="F73" s="1310" t="e">
        <f t="array" aca="1" ref="F73" ca="1">+_xludf.IFS(E73="50% teletrabajo",0.5, E73="25% teletrabajo",0.75,E73="75% teletrabajo",0.25,E73="100% teletrabajo",0,E73="100% trabajo presencial",1)</f>
        <v>#NAME?</v>
      </c>
      <c r="G73" s="1310" t="s">
        <v>1964</v>
      </c>
      <c r="H73" s="1310" t="e">
        <f t="array" aca="1" ref="H73" ca="1">+_xludf.IFS(G73="Vehículo - Uso individual","Auto",G73="Vehículo - Uso compartido","Auto",G73="Transporte público","Bus",G73="Moto","Moto",G73="Bicicleta o caminando","Bicicleta")</f>
        <v>#NAME?</v>
      </c>
      <c r="I73" s="1310">
        <v>1</v>
      </c>
      <c r="J73" s="1310">
        <v>4</v>
      </c>
      <c r="K73" s="1312" t="e">
        <f t="shared" ca="1" si="2"/>
        <v>#NAME?</v>
      </c>
      <c r="L73" s="1315" t="e">
        <f ca="1">+K73*I73*VLOOKUP(H73,'Factores Emisión EDGE'!$K$267:$L$272,2,FALSE)/1000</f>
        <v>#NAME?</v>
      </c>
    </row>
    <row r="74" spans="1:12">
      <c r="A74" s="1314">
        <v>44650.384737800923</v>
      </c>
      <c r="B74" s="1310" t="s">
        <v>2103</v>
      </c>
      <c r="C74" s="1310" t="s">
        <v>2104</v>
      </c>
      <c r="D74" s="1310" t="s">
        <v>1951</v>
      </c>
      <c r="E74" s="1310" t="s">
        <v>868</v>
      </c>
      <c r="F74" s="1310" t="e">
        <f t="array" aca="1" ref="F74" ca="1">+_xludf.IFS(E74="50% teletrabajo",0.5, E74="25% teletrabajo",0.75,E74="75% teletrabajo",0.25,E74="100% teletrabajo",0,E74="100% trabajo presencial",1)</f>
        <v>#NAME?</v>
      </c>
      <c r="G74" s="1310" t="s">
        <v>1983</v>
      </c>
      <c r="H74" s="1310" t="e">
        <f t="array" aca="1" ref="H74" ca="1">+_xludf.IFS(G74="Vehículo - Uso individual","Auto",G74="Vehículo - Uso compartido","Auto",G74="Transporte público","Bus",G74="Moto","Moto",G74="Bicicleta o caminando","Bicicleta")</f>
        <v>#NAME?</v>
      </c>
      <c r="I74" s="1310">
        <v>1</v>
      </c>
      <c r="J74" s="1310">
        <v>2</v>
      </c>
      <c r="K74" s="1312" t="e">
        <f t="shared" ca="1" si="2"/>
        <v>#NAME?</v>
      </c>
      <c r="L74" s="1315" t="e">
        <f ca="1">+K74*I74*VLOOKUP(H74,'Factores Emisión EDGE'!$K$267:$L$272,2,FALSE)/1000</f>
        <v>#NAME?</v>
      </c>
    </row>
    <row r="75" spans="1:12">
      <c r="A75" s="1314">
        <v>44650.38477365741</v>
      </c>
      <c r="B75" s="1310" t="s">
        <v>2105</v>
      </c>
      <c r="C75" s="1310" t="s">
        <v>2106</v>
      </c>
      <c r="D75" s="1310" t="s">
        <v>1951</v>
      </c>
      <c r="E75" s="1310" t="s">
        <v>868</v>
      </c>
      <c r="F75" s="1310" t="e">
        <f t="array" aca="1" ref="F75" ca="1">+_xludf.IFS(E75="50% teletrabajo",0.5, E75="25% teletrabajo",0.75,E75="75% teletrabajo",0.25,E75="100% teletrabajo",0,E75="100% trabajo presencial",1)</f>
        <v>#NAME?</v>
      </c>
      <c r="G75" s="1310" t="s">
        <v>1952</v>
      </c>
      <c r="H75" s="1310" t="e">
        <f t="array" aca="1" ref="H75" ca="1">+_xludf.IFS(G75="Vehículo - Uso individual","Auto",G75="Vehículo - Uso compartido","Auto",G75="Transporte público","Bus",G75="Moto","Moto",G75="Bicicleta o caminando","Bicicleta")</f>
        <v>#NAME?</v>
      </c>
      <c r="I75" s="1310">
        <v>1</v>
      </c>
      <c r="J75" s="1310">
        <v>15</v>
      </c>
      <c r="K75" s="1312" t="e">
        <f t="shared" ca="1" si="2"/>
        <v>#NAME?</v>
      </c>
      <c r="L75" s="1315" t="e">
        <f ca="1">+K75*I75*VLOOKUP(H75,'Factores Emisión EDGE'!$K$267:$L$272,2,FALSE)/1000</f>
        <v>#NAME?</v>
      </c>
    </row>
    <row r="76" spans="1:12">
      <c r="A76" s="1314">
        <v>44650.384880046295</v>
      </c>
      <c r="B76" s="1310" t="s">
        <v>2107</v>
      </c>
      <c r="C76" s="1310" t="s">
        <v>2108</v>
      </c>
      <c r="D76" s="1310" t="s">
        <v>1951</v>
      </c>
      <c r="E76" s="1310" t="s">
        <v>868</v>
      </c>
      <c r="F76" s="1310" t="e">
        <f t="array" aca="1" ref="F76" ca="1">+_xludf.IFS(E76="50% teletrabajo",0.5, E76="25% teletrabajo",0.75,E76="75% teletrabajo",0.25,E76="100% teletrabajo",0,E76="100% trabajo presencial",1)</f>
        <v>#NAME?</v>
      </c>
      <c r="G76" s="1310" t="s">
        <v>1964</v>
      </c>
      <c r="H76" s="1310" t="e">
        <f t="array" aca="1" ref="H76" ca="1">+_xludf.IFS(G76="Vehículo - Uso individual","Auto",G76="Vehículo - Uso compartido","Auto",G76="Transporte público","Bus",G76="Moto","Moto",G76="Bicicleta o caminando","Bicicleta")</f>
        <v>#NAME?</v>
      </c>
      <c r="I76" s="1310">
        <v>1</v>
      </c>
      <c r="J76" s="1310">
        <v>23</v>
      </c>
      <c r="K76" s="1312" t="e">
        <f t="shared" ca="1" si="2"/>
        <v>#NAME?</v>
      </c>
      <c r="L76" s="1315" t="e">
        <f ca="1">+K76*I76*VLOOKUP(H76,'Factores Emisión EDGE'!$K$267:$L$272,2,FALSE)/1000</f>
        <v>#NAME?</v>
      </c>
    </row>
    <row r="77" spans="1:12">
      <c r="A77" s="1314">
        <v>44650.384899432873</v>
      </c>
      <c r="B77" s="1310" t="s">
        <v>2109</v>
      </c>
      <c r="C77" s="1310" t="s">
        <v>2110</v>
      </c>
      <c r="D77" s="1310" t="s">
        <v>1951</v>
      </c>
      <c r="E77" s="1310" t="s">
        <v>872</v>
      </c>
      <c r="F77" s="1310" t="e">
        <f t="array" aca="1" ref="F77" ca="1">+_xludf.IFS(E77="50% teletrabajo",0.5, E77="25% teletrabajo",0.75,E77="75% teletrabajo",0.25,E77="100% teletrabajo",0,E77="100% trabajo presencial",1)</f>
        <v>#NAME?</v>
      </c>
      <c r="G77" s="1310" t="s">
        <v>1964</v>
      </c>
      <c r="H77" s="1310" t="e">
        <f t="array" aca="1" ref="H77" ca="1">+_xludf.IFS(G77="Vehículo - Uso individual","Auto",G77="Vehículo - Uso compartido","Auto",G77="Transporte público","Bus",G77="Moto","Moto",G77="Bicicleta o caminando","Bicicleta")</f>
        <v>#NAME?</v>
      </c>
      <c r="I77" s="1310">
        <v>1</v>
      </c>
      <c r="J77" s="1310">
        <v>95</v>
      </c>
      <c r="K77" s="1312" t="e">
        <f t="shared" ca="1" si="2"/>
        <v>#NAME?</v>
      </c>
      <c r="L77" s="1315" t="e">
        <f ca="1">+K77*I77*VLOOKUP(H77,'Factores Emisión EDGE'!$K$267:$L$272,2,FALSE)/1000</f>
        <v>#NAME?</v>
      </c>
    </row>
    <row r="78" spans="1:12">
      <c r="A78" s="1314">
        <v>44650.385028599536</v>
      </c>
      <c r="B78" s="1310" t="s">
        <v>2111</v>
      </c>
      <c r="C78" s="1310" t="s">
        <v>2112</v>
      </c>
      <c r="D78" s="1310" t="s">
        <v>1951</v>
      </c>
      <c r="E78" s="1310" t="s">
        <v>868</v>
      </c>
      <c r="F78" s="1310" t="e">
        <f t="array" aca="1" ref="F78" ca="1">+_xludf.IFS(E78="50% teletrabajo",0.5, E78="25% teletrabajo",0.75,E78="75% teletrabajo",0.25,E78="100% teletrabajo",0,E78="100% trabajo presencial",1)</f>
        <v>#NAME?</v>
      </c>
      <c r="G78" s="1310" t="s">
        <v>1952</v>
      </c>
      <c r="H78" s="1310" t="e">
        <f t="array" aca="1" ref="H78" ca="1">+_xludf.IFS(G78="Vehículo - Uso individual","Auto",G78="Vehículo - Uso compartido","Auto",G78="Transporte público","Bus",G78="Moto","Moto",G78="Bicicleta o caminando","Bicicleta")</f>
        <v>#NAME?</v>
      </c>
      <c r="I78" s="1310">
        <v>1</v>
      </c>
      <c r="J78" s="1310">
        <v>20</v>
      </c>
      <c r="K78" s="1312" t="e">
        <f t="shared" ca="1" si="2"/>
        <v>#NAME?</v>
      </c>
      <c r="L78" s="1315" t="e">
        <f ca="1">+K78*I78*VLOOKUP(H78,'Factores Emisión EDGE'!$K$267:$L$272,2,FALSE)/1000</f>
        <v>#NAME?</v>
      </c>
    </row>
    <row r="79" spans="1:12">
      <c r="A79" s="1314">
        <v>44650.385066921299</v>
      </c>
      <c r="B79" s="1310" t="s">
        <v>2113</v>
      </c>
      <c r="C79" s="1310" t="s">
        <v>2114</v>
      </c>
      <c r="D79" s="1310" t="s">
        <v>1951</v>
      </c>
      <c r="E79" s="1310" t="s">
        <v>868</v>
      </c>
      <c r="F79" s="1310" t="e">
        <f t="array" aca="1" ref="F79" ca="1">+_xludf.IFS(E79="50% teletrabajo",0.5, E79="25% teletrabajo",0.75,E79="75% teletrabajo",0.25,E79="100% teletrabajo",0,E79="100% trabajo presencial",1)</f>
        <v>#NAME?</v>
      </c>
      <c r="G79" s="1310" t="s">
        <v>1995</v>
      </c>
      <c r="H79" s="1310" t="e">
        <f t="array" aca="1" ref="H79" ca="1">+_xludf.IFS(G79="Vehículo - Uso individual","Auto",G79="Vehículo - Uso compartido","Auto",G79="Transporte público","Bus",G79="Moto","Moto",G79="Bicicleta o caminando","Bicicleta")</f>
        <v>#NAME?</v>
      </c>
      <c r="I79" s="1310">
        <v>0.25</v>
      </c>
      <c r="J79" s="1310">
        <v>2.5</v>
      </c>
      <c r="K79" s="1312" t="e">
        <f t="shared" ca="1" si="2"/>
        <v>#NAME?</v>
      </c>
      <c r="L79" s="1315" t="e">
        <f ca="1">+K79*I79*VLOOKUP(H79,'Factores Emisión EDGE'!$K$267:$L$272,2,FALSE)/1000</f>
        <v>#NAME?</v>
      </c>
    </row>
    <row r="80" spans="1:12">
      <c r="A80" s="1314">
        <v>44650.385362685185</v>
      </c>
      <c r="B80" s="1310" t="s">
        <v>2115</v>
      </c>
      <c r="C80" s="1310" t="s">
        <v>2116</v>
      </c>
      <c r="D80" s="1310" t="s">
        <v>1951</v>
      </c>
      <c r="E80" s="1310" t="s">
        <v>1965</v>
      </c>
      <c r="F80" s="1310" t="e">
        <f t="array" aca="1" ref="F80" ca="1">+_xludf.IFS(E80="50% teletrabajo",0.5, E80="25% teletrabajo",0.75,E80="75% teletrabajo",0.25,E80="100% teletrabajo",0,E80="100% trabajo presencial",1)</f>
        <v>#NAME?</v>
      </c>
      <c r="G80" s="1310" t="s">
        <v>1952</v>
      </c>
      <c r="H80" s="1310" t="e">
        <f t="array" aca="1" ref="H80" ca="1">+_xludf.IFS(G80="Vehículo - Uso individual","Auto",G80="Vehículo - Uso compartido","Auto",G80="Transporte público","Bus",G80="Moto","Moto",G80="Bicicleta o caminando","Bicicleta")</f>
        <v>#NAME?</v>
      </c>
      <c r="I80" s="1310">
        <v>1</v>
      </c>
      <c r="J80" s="1310">
        <v>20</v>
      </c>
      <c r="K80" s="1312" t="e">
        <f t="shared" ca="1" si="2"/>
        <v>#NAME?</v>
      </c>
      <c r="L80" s="1315" t="e">
        <f ca="1">+K80*I80*VLOOKUP(H80,'Factores Emisión EDGE'!$K$267:$L$272,2,FALSE)/1000</f>
        <v>#NAME?</v>
      </c>
    </row>
    <row r="81" spans="1:12">
      <c r="A81" s="1314">
        <v>44650.38567653935</v>
      </c>
      <c r="B81" s="1310" t="s">
        <v>2117</v>
      </c>
      <c r="C81" s="1310" t="s">
        <v>2118</v>
      </c>
      <c r="D81" s="1310" t="s">
        <v>1951</v>
      </c>
      <c r="E81" s="1310" t="s">
        <v>1960</v>
      </c>
      <c r="F81" s="1310" t="e">
        <f t="array" aca="1" ref="F81" ca="1">+_xludf.IFS(E81="50% teletrabajo",0.5, E81="25% teletrabajo",0.75,E81="75% teletrabajo",0.25,E81="100% teletrabajo",0,E81="100% trabajo presencial",1)</f>
        <v>#NAME?</v>
      </c>
      <c r="G81" s="1310" t="s">
        <v>1983</v>
      </c>
      <c r="H81" s="1310" t="e">
        <f t="array" aca="1" ref="H81" ca="1">+_xludf.IFS(G81="Vehículo - Uso individual","Auto",G81="Vehículo - Uso compartido","Auto",G81="Transporte público","Bus",G81="Moto","Moto",G81="Bicicleta o caminando","Bicicleta")</f>
        <v>#NAME?</v>
      </c>
      <c r="I81" s="1310">
        <v>1</v>
      </c>
      <c r="J81" s="1310">
        <v>0</v>
      </c>
      <c r="K81" s="1312" t="e">
        <f t="shared" ca="1" si="2"/>
        <v>#NAME?</v>
      </c>
      <c r="L81" s="1315" t="e">
        <f ca="1">+K81*I81*VLOOKUP(H81,'Factores Emisión EDGE'!$K$267:$L$272,2,FALSE)/1000</f>
        <v>#NAME?</v>
      </c>
    </row>
    <row r="82" spans="1:12">
      <c r="A82" s="1314">
        <v>44650.385799421296</v>
      </c>
      <c r="B82" s="1310" t="s">
        <v>133</v>
      </c>
      <c r="C82" s="1310" t="s">
        <v>2119</v>
      </c>
      <c r="D82" s="1310" t="s">
        <v>1951</v>
      </c>
      <c r="E82" s="1310" t="s">
        <v>1965</v>
      </c>
      <c r="F82" s="1310" t="e">
        <f t="array" aca="1" ref="F82" ca="1">+_xludf.IFS(E82="50% teletrabajo",0.5, E82="25% teletrabajo",0.75,E82="75% teletrabajo",0.25,E82="100% teletrabajo",0,E82="100% trabajo presencial",1)</f>
        <v>#NAME?</v>
      </c>
      <c r="G82" s="1310" t="s">
        <v>1952</v>
      </c>
      <c r="H82" s="1310" t="e">
        <f t="array" aca="1" ref="H82" ca="1">+_xludf.IFS(G82="Vehículo - Uso individual","Auto",G82="Vehículo - Uso compartido","Auto",G82="Transporte público","Bus",G82="Moto","Moto",G82="Bicicleta o caminando","Bicicleta")</f>
        <v>#NAME?</v>
      </c>
      <c r="I82" s="1310">
        <v>1</v>
      </c>
      <c r="J82" s="1310">
        <v>100</v>
      </c>
      <c r="K82" s="1312" t="e">
        <f t="shared" ca="1" si="2"/>
        <v>#NAME?</v>
      </c>
      <c r="L82" s="1315" t="e">
        <f ca="1">+K82*I82*VLOOKUP(H82,'Factores Emisión EDGE'!$K$267:$L$272,2,FALSE)/1000</f>
        <v>#NAME?</v>
      </c>
    </row>
    <row r="83" spans="1:12">
      <c r="A83" s="1314">
        <v>44650.385835243054</v>
      </c>
      <c r="B83" s="1310" t="s">
        <v>2120</v>
      </c>
      <c r="C83" s="1310" t="s">
        <v>2121</v>
      </c>
      <c r="D83" s="1310" t="s">
        <v>1951</v>
      </c>
      <c r="E83" s="1310" t="s">
        <v>1960</v>
      </c>
      <c r="F83" s="1310" t="e">
        <f t="array" aca="1" ref="F83" ca="1">+_xludf.IFS(E83="50% teletrabajo",0.5, E83="25% teletrabajo",0.75,E83="75% teletrabajo",0.25,E83="100% teletrabajo",0,E83="100% trabajo presencial",1)</f>
        <v>#NAME?</v>
      </c>
      <c r="G83" s="1310" t="s">
        <v>1952</v>
      </c>
      <c r="H83" s="1310" t="e">
        <f t="array" aca="1" ref="H83" ca="1">+_xludf.IFS(G83="Vehículo - Uso individual","Auto",G83="Vehículo - Uso compartido","Auto",G83="Transporte público","Bus",G83="Moto","Moto",G83="Bicicleta o caminando","Bicicleta")</f>
        <v>#NAME?</v>
      </c>
      <c r="I83" s="1310">
        <v>1</v>
      </c>
      <c r="J83" s="1310">
        <v>3</v>
      </c>
      <c r="K83" s="1312" t="e">
        <f t="shared" ca="1" si="2"/>
        <v>#NAME?</v>
      </c>
      <c r="L83" s="1315" t="e">
        <f ca="1">+K83*I83*VLOOKUP(H83,'Factores Emisión EDGE'!$K$267:$L$272,2,FALSE)/1000</f>
        <v>#NAME?</v>
      </c>
    </row>
    <row r="84" spans="1:12">
      <c r="A84" s="1314">
        <v>44650.386166608798</v>
      </c>
      <c r="B84" s="1310" t="s">
        <v>2122</v>
      </c>
      <c r="C84" s="1310" t="s">
        <v>2123</v>
      </c>
      <c r="D84" s="1310" t="s">
        <v>1951</v>
      </c>
      <c r="E84" s="1310" t="s">
        <v>868</v>
      </c>
      <c r="F84" s="1310" t="e">
        <f t="array" aca="1" ref="F84" ca="1">+_xludf.IFS(E84="50% teletrabajo",0.5, E84="25% teletrabajo",0.75,E84="75% teletrabajo",0.25,E84="100% teletrabajo",0,E84="100% trabajo presencial",1)</f>
        <v>#NAME?</v>
      </c>
      <c r="G84" s="1310" t="s">
        <v>1964</v>
      </c>
      <c r="H84" s="1310" t="e">
        <f t="array" aca="1" ref="H84" ca="1">+_xludf.IFS(G84="Vehículo - Uso individual","Auto",G84="Vehículo - Uso compartido","Auto",G84="Transporte público","Bus",G84="Moto","Moto",G84="Bicicleta o caminando","Bicicleta")</f>
        <v>#NAME?</v>
      </c>
      <c r="I84" s="1310">
        <v>1</v>
      </c>
      <c r="J84" s="1310">
        <v>10</v>
      </c>
      <c r="K84" s="1312" t="e">
        <f t="shared" ca="1" si="2"/>
        <v>#NAME?</v>
      </c>
      <c r="L84" s="1315" t="e">
        <f ca="1">+K84*I84*VLOOKUP(H84,'Factores Emisión EDGE'!$K$267:$L$272,2,FALSE)/1000</f>
        <v>#NAME?</v>
      </c>
    </row>
    <row r="85" spans="1:12">
      <c r="A85" s="1314">
        <v>44650.386195798608</v>
      </c>
      <c r="B85" s="1310" t="s">
        <v>2124</v>
      </c>
      <c r="C85" s="1310" t="s">
        <v>2125</v>
      </c>
      <c r="D85" s="1310" t="s">
        <v>1951</v>
      </c>
      <c r="E85" s="1310" t="s">
        <v>872</v>
      </c>
      <c r="F85" s="1310" t="e">
        <f t="array" aca="1" ref="F85" ca="1">+_xludf.IFS(E85="50% teletrabajo",0.5, E85="25% teletrabajo",0.75,E85="75% teletrabajo",0.25,E85="100% teletrabajo",0,E85="100% trabajo presencial",1)</f>
        <v>#NAME?</v>
      </c>
      <c r="G85" s="1310" t="s">
        <v>1964</v>
      </c>
      <c r="H85" s="1310" t="e">
        <f t="array" aca="1" ref="H85" ca="1">+_xludf.IFS(G85="Vehículo - Uso individual","Auto",G85="Vehículo - Uso compartido","Auto",G85="Transporte público","Bus",G85="Moto","Moto",G85="Bicicleta o caminando","Bicicleta")</f>
        <v>#NAME?</v>
      </c>
      <c r="I85" s="1310">
        <v>1</v>
      </c>
      <c r="J85" s="1310">
        <v>13</v>
      </c>
      <c r="K85" s="1312" t="e">
        <f t="shared" ca="1" si="2"/>
        <v>#NAME?</v>
      </c>
      <c r="L85" s="1315" t="e">
        <f ca="1">+K85*I85*VLOOKUP(H85,'Factores Emisión EDGE'!$K$267:$L$272,2,FALSE)/1000</f>
        <v>#NAME?</v>
      </c>
    </row>
    <row r="86" spans="1:12">
      <c r="A86" s="1314">
        <v>44650.386274328703</v>
      </c>
      <c r="B86" s="1310" t="s">
        <v>2126</v>
      </c>
      <c r="C86" s="1310" t="s">
        <v>2127</v>
      </c>
      <c r="D86" s="1310" t="s">
        <v>1951</v>
      </c>
      <c r="E86" s="1310" t="s">
        <v>868</v>
      </c>
      <c r="F86" s="1310" t="e">
        <f t="array" aca="1" ref="F86" ca="1">+_xludf.IFS(E86="50% teletrabajo",0.5, E86="25% teletrabajo",0.75,E86="75% teletrabajo",0.25,E86="100% teletrabajo",0,E86="100% trabajo presencial",1)</f>
        <v>#NAME?</v>
      </c>
      <c r="G86" s="1310" t="s">
        <v>1952</v>
      </c>
      <c r="H86" s="1310" t="e">
        <f t="array" aca="1" ref="H86" ca="1">+_xludf.IFS(G86="Vehículo - Uso individual","Auto",G86="Vehículo - Uso compartido","Auto",G86="Transporte público","Bus",G86="Moto","Moto",G86="Bicicleta o caminando","Bicicleta")</f>
        <v>#NAME?</v>
      </c>
      <c r="I86" s="1310">
        <v>1</v>
      </c>
      <c r="J86" s="1310">
        <v>8</v>
      </c>
      <c r="K86" s="1312" t="e">
        <f t="shared" ca="1" si="2"/>
        <v>#NAME?</v>
      </c>
      <c r="L86" s="1315" t="e">
        <f ca="1">+K86*I86*VLOOKUP(H86,'Factores Emisión EDGE'!$K$267:$L$272,2,FALSE)/1000</f>
        <v>#NAME?</v>
      </c>
    </row>
    <row r="87" spans="1:12">
      <c r="A87" s="1314">
        <v>44650.386400358795</v>
      </c>
      <c r="B87" s="1310" t="s">
        <v>2128</v>
      </c>
      <c r="C87" s="1310" t="s">
        <v>2129</v>
      </c>
      <c r="D87" s="1310" t="s">
        <v>1951</v>
      </c>
      <c r="E87" s="1310" t="s">
        <v>1960</v>
      </c>
      <c r="F87" s="1310" t="e">
        <f t="array" aca="1" ref="F87" ca="1">+_xludf.IFS(E87="50% teletrabajo",0.5, E87="25% teletrabajo",0.75,E87="75% teletrabajo",0.25,E87="100% teletrabajo",0,E87="100% trabajo presencial",1)</f>
        <v>#NAME?</v>
      </c>
      <c r="G87" s="1310" t="s">
        <v>1964</v>
      </c>
      <c r="H87" s="1310" t="e">
        <f t="array" aca="1" ref="H87" ca="1">+_xludf.IFS(G87="Vehículo - Uso individual","Auto",G87="Vehículo - Uso compartido","Auto",G87="Transporte público","Bus",G87="Moto","Moto",G87="Bicicleta o caminando","Bicicleta")</f>
        <v>#NAME?</v>
      </c>
      <c r="I87" s="1310">
        <v>1</v>
      </c>
      <c r="J87" s="1310">
        <v>0</v>
      </c>
      <c r="K87" s="1312" t="e">
        <f t="shared" ca="1" si="2"/>
        <v>#NAME?</v>
      </c>
      <c r="L87" s="1315" t="e">
        <f ca="1">+K87*I87*VLOOKUP(H87,'Factores Emisión EDGE'!$K$267:$L$272,2,FALSE)/1000</f>
        <v>#NAME?</v>
      </c>
    </row>
    <row r="88" spans="1:12">
      <c r="A88" s="1314">
        <v>44650.386509652773</v>
      </c>
      <c r="B88" s="1310" t="s">
        <v>2130</v>
      </c>
      <c r="C88" s="1310" t="s">
        <v>2131</v>
      </c>
      <c r="D88" s="1310" t="s">
        <v>1951</v>
      </c>
      <c r="E88" s="1310" t="s">
        <v>1960</v>
      </c>
      <c r="F88" s="1310" t="e">
        <f t="array" aca="1" ref="F88" ca="1">+_xludf.IFS(E88="50% teletrabajo",0.5, E88="25% teletrabajo",0.75,E88="75% teletrabajo",0.25,E88="100% teletrabajo",0,E88="100% trabajo presencial",1)</f>
        <v>#NAME?</v>
      </c>
      <c r="G88" s="1310" t="s">
        <v>1952</v>
      </c>
      <c r="H88" s="1310" t="e">
        <f t="array" aca="1" ref="H88" ca="1">+_xludf.IFS(G88="Vehículo - Uso individual","Auto",G88="Vehículo - Uso compartido","Auto",G88="Transporte público","Bus",G88="Moto","Moto",G88="Bicicleta o caminando","Bicicleta")</f>
        <v>#NAME?</v>
      </c>
      <c r="I88" s="1310">
        <v>1</v>
      </c>
      <c r="J88" s="1310">
        <v>12</v>
      </c>
      <c r="K88" s="1312" t="e">
        <f t="shared" ca="1" si="2"/>
        <v>#NAME?</v>
      </c>
      <c r="L88" s="1315" t="e">
        <f ca="1">+K88*I88*VLOOKUP(H88,'Factores Emisión EDGE'!$K$267:$L$272,2,FALSE)/1000</f>
        <v>#NAME?</v>
      </c>
    </row>
    <row r="89" spans="1:12">
      <c r="A89" s="1314">
        <v>44650.386811909717</v>
      </c>
      <c r="B89" s="1310" t="s">
        <v>2132</v>
      </c>
      <c r="C89" s="1310" t="s">
        <v>2133</v>
      </c>
      <c r="D89" s="1310" t="s">
        <v>1951</v>
      </c>
      <c r="E89" s="1310" t="s">
        <v>1960</v>
      </c>
      <c r="F89" s="1310" t="e">
        <f t="array" aca="1" ref="F89" ca="1">+_xludf.IFS(E89="50% teletrabajo",0.5, E89="25% teletrabajo",0.75,E89="75% teletrabajo",0.25,E89="100% teletrabajo",0,E89="100% trabajo presencial",1)</f>
        <v>#NAME?</v>
      </c>
      <c r="G89" s="1310" t="s">
        <v>1964</v>
      </c>
      <c r="H89" s="1310" t="e">
        <f t="array" aca="1" ref="H89" ca="1">+_xludf.IFS(G89="Vehículo - Uso individual","Auto",G89="Vehículo - Uso compartido","Auto",G89="Transporte público","Bus",G89="Moto","Moto",G89="Bicicleta o caminando","Bicicleta")</f>
        <v>#NAME?</v>
      </c>
      <c r="I89" s="1310">
        <v>1</v>
      </c>
      <c r="J89" s="1310">
        <v>5</v>
      </c>
      <c r="K89" s="1312" t="e">
        <f t="shared" ca="1" si="2"/>
        <v>#NAME?</v>
      </c>
      <c r="L89" s="1315" t="e">
        <f ca="1">+K89*I89*VLOOKUP(H89,'Factores Emisión EDGE'!$K$267:$L$272,2,FALSE)/1000</f>
        <v>#NAME?</v>
      </c>
    </row>
    <row r="90" spans="1:12">
      <c r="A90" s="1314">
        <v>44650.387085613431</v>
      </c>
      <c r="B90" s="1310" t="s">
        <v>2134</v>
      </c>
      <c r="C90" s="1310" t="s">
        <v>2135</v>
      </c>
      <c r="D90" s="1310" t="s">
        <v>1951</v>
      </c>
      <c r="E90" s="1310" t="s">
        <v>1960</v>
      </c>
      <c r="F90" s="1310" t="e">
        <f t="array" aca="1" ref="F90" ca="1">+_xludf.IFS(E90="50% teletrabajo",0.5, E90="25% teletrabajo",0.75,E90="75% teletrabajo",0.25,E90="100% teletrabajo",0,E90="100% trabajo presencial",1)</f>
        <v>#NAME?</v>
      </c>
      <c r="G90" s="1310" t="s">
        <v>1995</v>
      </c>
      <c r="H90" s="1310" t="e">
        <f t="array" aca="1" ref="H90" ca="1">+_xludf.IFS(G90="Vehículo - Uso individual","Auto",G90="Vehículo - Uso compartido","Auto",G90="Transporte público","Bus",G90="Moto","Moto",G90="Bicicleta o caminando","Bicicleta")</f>
        <v>#NAME?</v>
      </c>
      <c r="I90" s="1310">
        <v>0.25</v>
      </c>
      <c r="J90" s="1310">
        <v>11</v>
      </c>
      <c r="K90" s="1312" t="e">
        <f t="shared" ca="1" si="2"/>
        <v>#NAME?</v>
      </c>
      <c r="L90" s="1315" t="e">
        <f ca="1">+K90*I90*VLOOKUP(H90,'Factores Emisión EDGE'!$K$267:$L$272,2,FALSE)/1000</f>
        <v>#NAME?</v>
      </c>
    </row>
    <row r="91" spans="1:12">
      <c r="A91" s="1314">
        <v>44650.387193229166</v>
      </c>
      <c r="B91" s="1310" t="s">
        <v>2136</v>
      </c>
      <c r="C91" s="1310" t="s">
        <v>2137</v>
      </c>
      <c r="D91" s="1310" t="s">
        <v>1951</v>
      </c>
      <c r="E91" s="1310" t="s">
        <v>1960</v>
      </c>
      <c r="F91" s="1310" t="e">
        <f t="array" aca="1" ref="F91" ca="1">+_xludf.IFS(E91="50% teletrabajo",0.5, E91="25% teletrabajo",0.75,E91="75% teletrabajo",0.25,E91="100% teletrabajo",0,E91="100% trabajo presencial",1)</f>
        <v>#NAME?</v>
      </c>
      <c r="G91" s="1310" t="s">
        <v>1952</v>
      </c>
      <c r="H91" s="1310" t="e">
        <f t="array" aca="1" ref="H91" ca="1">+_xludf.IFS(G91="Vehículo - Uso individual","Auto",G91="Vehículo - Uso compartido","Auto",G91="Transporte público","Bus",G91="Moto","Moto",G91="Bicicleta o caminando","Bicicleta")</f>
        <v>#NAME?</v>
      </c>
      <c r="I91" s="1310">
        <v>1</v>
      </c>
      <c r="J91" s="1310">
        <v>19</v>
      </c>
      <c r="K91" s="1312" t="e">
        <f t="shared" ca="1" si="2"/>
        <v>#NAME?</v>
      </c>
      <c r="L91" s="1315" t="e">
        <f ca="1">+K91*I91*VLOOKUP(H91,'Factores Emisión EDGE'!$K$267:$L$272,2,FALSE)/1000</f>
        <v>#NAME?</v>
      </c>
    </row>
    <row r="92" spans="1:12">
      <c r="A92" s="1314">
        <v>44650.387201574078</v>
      </c>
      <c r="B92" s="1310" t="s">
        <v>2138</v>
      </c>
      <c r="C92" s="1310" t="s">
        <v>2139</v>
      </c>
      <c r="D92" s="1310" t="s">
        <v>1951</v>
      </c>
      <c r="E92" s="1310" t="s">
        <v>868</v>
      </c>
      <c r="F92" s="1310" t="e">
        <f t="array" aca="1" ref="F92" ca="1">+_xludf.IFS(E92="50% teletrabajo",0.5, E92="25% teletrabajo",0.75,E92="75% teletrabajo",0.25,E92="100% teletrabajo",0,E92="100% trabajo presencial",1)</f>
        <v>#NAME?</v>
      </c>
      <c r="G92" s="1310" t="s">
        <v>1964</v>
      </c>
      <c r="H92" s="1310" t="e">
        <f t="array" aca="1" ref="H92" ca="1">+_xludf.IFS(G92="Vehículo - Uso individual","Auto",G92="Vehículo - Uso compartido","Auto",G92="Transporte público","Bus",G92="Moto","Moto",G92="Bicicleta o caminando","Bicicleta")</f>
        <v>#NAME?</v>
      </c>
      <c r="I92" s="1310">
        <v>1</v>
      </c>
      <c r="J92" s="1310">
        <v>32.1</v>
      </c>
      <c r="K92" s="1312" t="e">
        <f t="shared" ca="1" si="2"/>
        <v>#NAME?</v>
      </c>
      <c r="L92" s="1315" t="e">
        <f ca="1">+K92*I92*VLOOKUP(H92,'Factores Emisión EDGE'!$K$267:$L$272,2,FALSE)/1000</f>
        <v>#NAME?</v>
      </c>
    </row>
    <row r="93" spans="1:12">
      <c r="A93" s="1314">
        <v>44650.38736390046</v>
      </c>
      <c r="B93" s="1310" t="s">
        <v>2140</v>
      </c>
      <c r="C93" s="1310" t="s">
        <v>2141</v>
      </c>
      <c r="D93" s="1310" t="s">
        <v>1951</v>
      </c>
      <c r="E93" s="1310" t="s">
        <v>868</v>
      </c>
      <c r="F93" s="1310" t="e">
        <f t="array" aca="1" ref="F93" ca="1">+_xludf.IFS(E93="50% teletrabajo",0.5, E93="25% teletrabajo",0.75,E93="75% teletrabajo",0.25,E93="100% teletrabajo",0,E93="100% trabajo presencial",1)</f>
        <v>#NAME?</v>
      </c>
      <c r="G93" s="1310" t="s">
        <v>1964</v>
      </c>
      <c r="H93" s="1310" t="e">
        <f t="array" aca="1" ref="H93" ca="1">+_xludf.IFS(G93="Vehículo - Uso individual","Auto",G93="Vehículo - Uso compartido","Auto",G93="Transporte público","Bus",G93="Moto","Moto",G93="Bicicleta o caminando","Bicicleta")</f>
        <v>#NAME?</v>
      </c>
      <c r="I93" s="1310">
        <v>1</v>
      </c>
      <c r="J93" s="1310">
        <v>5</v>
      </c>
      <c r="K93" s="1312" t="e">
        <f t="shared" ca="1" si="2"/>
        <v>#NAME?</v>
      </c>
      <c r="L93" s="1315" t="e">
        <f ca="1">+K93*I93*VLOOKUP(H93,'Factores Emisión EDGE'!$K$267:$L$272,2,FALSE)/1000</f>
        <v>#NAME?</v>
      </c>
    </row>
    <row r="94" spans="1:12">
      <c r="A94" s="1314">
        <v>44650.387664351852</v>
      </c>
      <c r="B94" s="1310" t="s">
        <v>2142</v>
      </c>
      <c r="C94" s="1310" t="s">
        <v>2143</v>
      </c>
      <c r="D94" s="1310" t="s">
        <v>1951</v>
      </c>
      <c r="E94" s="1310" t="s">
        <v>1965</v>
      </c>
      <c r="F94" s="1310" t="e">
        <f t="array" aca="1" ref="F94" ca="1">+_xludf.IFS(E94="50% teletrabajo",0.5, E94="25% teletrabajo",0.75,E94="75% teletrabajo",0.25,E94="100% teletrabajo",0,E94="100% trabajo presencial",1)</f>
        <v>#NAME?</v>
      </c>
      <c r="G94" s="1310" t="s">
        <v>1995</v>
      </c>
      <c r="H94" s="1310" t="e">
        <f t="array" aca="1" ref="H94" ca="1">+_xludf.IFS(G94="Vehículo - Uso individual","Auto",G94="Vehículo - Uso compartido","Auto",G94="Transporte público","Bus",G94="Moto","Moto",G94="Bicicleta o caminando","Bicicleta")</f>
        <v>#NAME?</v>
      </c>
      <c r="I94" s="1310">
        <v>0.25</v>
      </c>
      <c r="J94" s="1310">
        <v>7.4</v>
      </c>
      <c r="K94" s="1312" t="e">
        <f t="shared" ca="1" si="2"/>
        <v>#NAME?</v>
      </c>
      <c r="L94" s="1315" t="e">
        <f ca="1">+K94*I94*VLOOKUP(H94,'Factores Emisión EDGE'!$K$267:$L$272,2,FALSE)/1000</f>
        <v>#NAME?</v>
      </c>
    </row>
    <row r="95" spans="1:12">
      <c r="A95" s="1314">
        <v>44650.387744027779</v>
      </c>
      <c r="B95" s="1310" t="s">
        <v>2144</v>
      </c>
      <c r="C95" s="1310" t="s">
        <v>2145</v>
      </c>
      <c r="D95" s="1310" t="s">
        <v>1951</v>
      </c>
      <c r="E95" s="1310" t="s">
        <v>868</v>
      </c>
      <c r="F95" s="1310" t="e">
        <f t="array" aca="1" ref="F95" ca="1">+_xludf.IFS(E95="50% teletrabajo",0.5, E95="25% teletrabajo",0.75,E95="75% teletrabajo",0.25,E95="100% teletrabajo",0,E95="100% trabajo presencial",1)</f>
        <v>#NAME?</v>
      </c>
      <c r="G95" s="1310" t="s">
        <v>1952</v>
      </c>
      <c r="H95" s="1310" t="e">
        <f t="array" aca="1" ref="H95" ca="1">+_xludf.IFS(G95="Vehículo - Uso individual","Auto",G95="Vehículo - Uso compartido","Auto",G95="Transporte público","Bus",G95="Moto","Moto",G95="Bicicleta o caminando","Bicicleta")</f>
        <v>#NAME?</v>
      </c>
      <c r="I95" s="1310">
        <v>1</v>
      </c>
      <c r="J95" s="1310">
        <v>12</v>
      </c>
      <c r="K95" s="1312" t="e">
        <f t="shared" ca="1" si="2"/>
        <v>#NAME?</v>
      </c>
      <c r="L95" s="1315" t="e">
        <f ca="1">+K95*I95*VLOOKUP(H95,'Factores Emisión EDGE'!$K$267:$L$272,2,FALSE)/1000</f>
        <v>#NAME?</v>
      </c>
    </row>
    <row r="96" spans="1:12">
      <c r="A96" s="1314">
        <v>44650.388018344907</v>
      </c>
      <c r="B96" s="1310" t="s">
        <v>2146</v>
      </c>
      <c r="C96" s="1310" t="s">
        <v>2147</v>
      </c>
      <c r="D96" s="1310" t="s">
        <v>1951</v>
      </c>
      <c r="E96" s="1310" t="s">
        <v>1965</v>
      </c>
      <c r="F96" s="1310" t="e">
        <f t="array" aca="1" ref="F96" ca="1">+_xludf.IFS(E96="50% teletrabajo",0.5, E96="25% teletrabajo",0.75,E96="75% teletrabajo",0.25,E96="100% teletrabajo",0,E96="100% trabajo presencial",1)</f>
        <v>#NAME?</v>
      </c>
      <c r="G96" s="1310" t="s">
        <v>1952</v>
      </c>
      <c r="H96" s="1310" t="e">
        <f t="array" aca="1" ref="H96" ca="1">+_xludf.IFS(G96="Vehículo - Uso individual","Auto",G96="Vehículo - Uso compartido","Auto",G96="Transporte público","Bus",G96="Moto","Moto",G96="Bicicleta o caminando","Bicicleta")</f>
        <v>#NAME?</v>
      </c>
      <c r="I96" s="1310">
        <v>1</v>
      </c>
      <c r="J96" s="1310">
        <v>8</v>
      </c>
      <c r="K96" s="1312" t="e">
        <f t="shared" ca="1" si="2"/>
        <v>#NAME?</v>
      </c>
      <c r="L96" s="1315" t="e">
        <f ca="1">+K96*I96*VLOOKUP(H96,'Factores Emisión EDGE'!$K$267:$L$272,2,FALSE)/1000</f>
        <v>#NAME?</v>
      </c>
    </row>
    <row r="97" spans="1:12">
      <c r="A97" s="1314">
        <v>44650.388265868052</v>
      </c>
      <c r="B97" s="1310" t="s">
        <v>2148</v>
      </c>
      <c r="C97" s="1310" t="s">
        <v>2149</v>
      </c>
      <c r="D97" s="1310" t="s">
        <v>1951</v>
      </c>
      <c r="E97" s="1310" t="s">
        <v>1955</v>
      </c>
      <c r="F97" s="1310" t="e">
        <f t="array" aca="1" ref="F97" ca="1">+_xludf.IFS(E97="50% teletrabajo",0.5, E97="25% teletrabajo",0.75,E97="75% teletrabajo",0.25,E97="100% teletrabajo",0,E97="100% trabajo presencial",1)</f>
        <v>#NAME?</v>
      </c>
      <c r="G97" s="1310" t="s">
        <v>1964</v>
      </c>
      <c r="H97" s="1310" t="e">
        <f t="array" aca="1" ref="H97" ca="1">+_xludf.IFS(G97="Vehículo - Uso individual","Auto",G97="Vehículo - Uso compartido","Auto",G97="Transporte público","Bus",G97="Moto","Moto",G97="Bicicleta o caminando","Bicicleta")</f>
        <v>#NAME?</v>
      </c>
      <c r="I97" s="1310">
        <v>1</v>
      </c>
      <c r="J97" s="1310">
        <v>10</v>
      </c>
      <c r="K97" s="1312" t="e">
        <f t="shared" ca="1" si="2"/>
        <v>#NAME?</v>
      </c>
      <c r="L97" s="1315" t="e">
        <f ca="1">+K97*I97*VLOOKUP(H97,'Factores Emisión EDGE'!$K$267:$L$272,2,FALSE)/1000</f>
        <v>#NAME?</v>
      </c>
    </row>
    <row r="98" spans="1:12">
      <c r="A98" s="1314">
        <v>44650.388386516206</v>
      </c>
      <c r="B98" s="1319" t="s">
        <v>2150</v>
      </c>
      <c r="C98" s="1319" t="s">
        <v>2151</v>
      </c>
      <c r="D98" s="1319" t="s">
        <v>1951</v>
      </c>
      <c r="E98" s="1319" t="s">
        <v>868</v>
      </c>
      <c r="F98" s="1310" t="e">
        <f t="array" aca="1" ref="F98" ca="1">+_xludf.IFS(E98="50% teletrabajo",0.5, E98="25% teletrabajo",0.75,E98="75% teletrabajo",0.25,E98="100% teletrabajo",0,E98="100% trabajo presencial",1)</f>
        <v>#NAME?</v>
      </c>
      <c r="G98" s="1319" t="s">
        <v>1952</v>
      </c>
      <c r="H98" s="1310" t="e">
        <f t="array" aca="1" ref="H98" ca="1">+_xludf.IFS(G98="Vehículo - Uso individual","Auto",G98="Vehículo - Uso compartido","Auto",G98="Transporte público","Bus",G98="Moto","Moto",G98="Bicicleta o caminando","Bicicleta")</f>
        <v>#NAME?</v>
      </c>
      <c r="I98" s="1310">
        <v>1</v>
      </c>
      <c r="J98" s="1319">
        <v>7900</v>
      </c>
      <c r="K98" s="1312" t="e">
        <f ca="1">+J98*F98</f>
        <v>#NAME?</v>
      </c>
      <c r="L98" s="1315" t="e">
        <f ca="1">+K98*I98*VLOOKUP(H98,'Factores Emisión EDGE'!$K$267:$L$272,2,FALSE)/1000</f>
        <v>#NAME?</v>
      </c>
    </row>
    <row r="99" spans="1:12">
      <c r="A99" s="1314">
        <v>44650.388591423616</v>
      </c>
      <c r="B99" s="1310" t="s">
        <v>2152</v>
      </c>
      <c r="C99" s="1310" t="s">
        <v>2153</v>
      </c>
      <c r="D99" s="1310" t="s">
        <v>1951</v>
      </c>
      <c r="E99" s="1310" t="s">
        <v>1960</v>
      </c>
      <c r="F99" s="1310" t="e">
        <f t="array" aca="1" ref="F99" ca="1">+_xludf.IFS(E99="50% teletrabajo",0.5, E99="25% teletrabajo",0.75,E99="75% teletrabajo",0.25,E99="100% teletrabajo",0,E99="100% trabajo presencial",1)</f>
        <v>#NAME?</v>
      </c>
      <c r="G99" s="1310" t="s">
        <v>1983</v>
      </c>
      <c r="H99" s="1310" t="e">
        <f t="array" aca="1" ref="H99" ca="1">+_xludf.IFS(G99="Vehículo - Uso individual","Auto",G99="Vehículo - Uso compartido","Auto",G99="Transporte público","Bus",G99="Moto","Moto",G99="Bicicleta o caminando","Bicicleta")</f>
        <v>#NAME?</v>
      </c>
      <c r="I99" s="1310">
        <v>1</v>
      </c>
      <c r="J99" s="1310">
        <v>0</v>
      </c>
      <c r="K99" s="1312" t="e">
        <f t="shared" ref="K99:K160" ca="1" si="3">+J99*5*50*2*F99</f>
        <v>#NAME?</v>
      </c>
      <c r="L99" s="1315" t="e">
        <f ca="1">+K99*I99*VLOOKUP(H99,'Factores Emisión EDGE'!$K$267:$L$272,2,FALSE)/1000</f>
        <v>#NAME?</v>
      </c>
    </row>
    <row r="100" spans="1:12">
      <c r="A100" s="1314">
        <v>44650.388670578701</v>
      </c>
      <c r="B100" s="1310" t="s">
        <v>2154</v>
      </c>
      <c r="C100" s="1310" t="s">
        <v>2155</v>
      </c>
      <c r="D100" s="1310" t="s">
        <v>1951</v>
      </c>
      <c r="E100" s="1310" t="s">
        <v>1965</v>
      </c>
      <c r="F100" s="1310" t="e">
        <f t="array" aca="1" ref="F100" ca="1">+_xludf.IFS(E100="50% teletrabajo",0.5, E100="25% teletrabajo",0.75,E100="75% teletrabajo",0.25,E100="100% teletrabajo",0,E100="100% trabajo presencial",1)</f>
        <v>#NAME?</v>
      </c>
      <c r="G100" s="1310" t="s">
        <v>1952</v>
      </c>
      <c r="H100" s="1310" t="e">
        <f t="array" aca="1" ref="H100" ca="1">+_xludf.IFS(G100="Vehículo - Uso individual","Auto",G100="Vehículo - Uso compartido","Auto",G100="Transporte público","Bus",G100="Moto","Moto",G100="Bicicleta o caminando","Bicicleta")</f>
        <v>#NAME?</v>
      </c>
      <c r="I100" s="1310">
        <v>1</v>
      </c>
      <c r="J100" s="1310">
        <v>20</v>
      </c>
      <c r="K100" s="1312" t="e">
        <f t="shared" ca="1" si="3"/>
        <v>#NAME?</v>
      </c>
      <c r="L100" s="1315" t="e">
        <f ca="1">+K100*I100*VLOOKUP(H100,'Factores Emisión EDGE'!$K$267:$L$272,2,FALSE)/1000</f>
        <v>#NAME?</v>
      </c>
    </row>
    <row r="101" spans="1:12">
      <c r="A101" s="1314">
        <v>44650.388723518518</v>
      </c>
      <c r="B101" s="1310" t="s">
        <v>2156</v>
      </c>
      <c r="C101" s="1310" t="s">
        <v>2157</v>
      </c>
      <c r="D101" s="1310" t="s">
        <v>1951</v>
      </c>
      <c r="E101" s="1310" t="s">
        <v>1965</v>
      </c>
      <c r="F101" s="1310" t="e">
        <f t="array" aca="1" ref="F101" ca="1">+_xludf.IFS(E101="50% teletrabajo",0.5, E101="25% teletrabajo",0.75,E101="75% teletrabajo",0.25,E101="100% teletrabajo",0,E101="100% trabajo presencial",1)</f>
        <v>#NAME?</v>
      </c>
      <c r="G101" s="1310" t="s">
        <v>1952</v>
      </c>
      <c r="H101" s="1310" t="e">
        <f t="array" aca="1" ref="H101" ca="1">+_xludf.IFS(G101="Vehículo - Uso individual","Auto",G101="Vehículo - Uso compartido","Auto",G101="Transporte público","Bus",G101="Moto","Moto",G101="Bicicleta o caminando","Bicicleta")</f>
        <v>#NAME?</v>
      </c>
      <c r="I101" s="1310">
        <v>1</v>
      </c>
      <c r="J101" s="1310">
        <v>60</v>
      </c>
      <c r="K101" s="1312" t="e">
        <f t="shared" ca="1" si="3"/>
        <v>#NAME?</v>
      </c>
      <c r="L101" s="1315" t="e">
        <f ca="1">+K101*I101*VLOOKUP(H101,'Factores Emisión EDGE'!$K$267:$L$272,2,FALSE)/1000</f>
        <v>#NAME?</v>
      </c>
    </row>
    <row r="102" spans="1:12">
      <c r="A102" s="1314">
        <v>44650.388968969906</v>
      </c>
      <c r="B102" s="1310" t="s">
        <v>2158</v>
      </c>
      <c r="C102" s="1310" t="s">
        <v>2159</v>
      </c>
      <c r="D102" s="1310" t="s">
        <v>1951</v>
      </c>
      <c r="E102" s="1310" t="s">
        <v>868</v>
      </c>
      <c r="F102" s="1310" t="e">
        <f t="array" aca="1" ref="F102" ca="1">+_xludf.IFS(E102="50% teletrabajo",0.5, E102="25% teletrabajo",0.75,E102="75% teletrabajo",0.25,E102="100% teletrabajo",0,E102="100% trabajo presencial",1)</f>
        <v>#NAME?</v>
      </c>
      <c r="G102" s="1310" t="s">
        <v>1964</v>
      </c>
      <c r="H102" s="1310" t="e">
        <f t="array" aca="1" ref="H102" ca="1">+_xludf.IFS(G102="Vehículo - Uso individual","Auto",G102="Vehículo - Uso compartido","Auto",G102="Transporte público","Bus",G102="Moto","Moto",G102="Bicicleta o caminando","Bicicleta")</f>
        <v>#NAME?</v>
      </c>
      <c r="I102" s="1310">
        <v>1</v>
      </c>
      <c r="J102" s="1310">
        <v>3</v>
      </c>
      <c r="K102" s="1312" t="e">
        <f t="shared" ca="1" si="3"/>
        <v>#NAME?</v>
      </c>
      <c r="L102" s="1315" t="e">
        <f ca="1">+K102*I102*VLOOKUP(H102,'Factores Emisión EDGE'!$K$267:$L$272,2,FALSE)/1000</f>
        <v>#NAME?</v>
      </c>
    </row>
    <row r="103" spans="1:12">
      <c r="A103" s="1314">
        <v>44650.38924822917</v>
      </c>
      <c r="B103" s="1310" t="s">
        <v>2160</v>
      </c>
      <c r="C103" s="1310" t="s">
        <v>2161</v>
      </c>
      <c r="D103" s="1310" t="s">
        <v>1951</v>
      </c>
      <c r="E103" s="1310" t="s">
        <v>868</v>
      </c>
      <c r="F103" s="1310" t="e">
        <f t="array" aca="1" ref="F103" ca="1">+_xludf.IFS(E103="50% teletrabajo",0.5, E103="25% teletrabajo",0.75,E103="75% teletrabajo",0.25,E103="100% teletrabajo",0,E103="100% trabajo presencial",1)</f>
        <v>#NAME?</v>
      </c>
      <c r="G103" s="1310" t="s">
        <v>1952</v>
      </c>
      <c r="H103" s="1310" t="e">
        <f t="array" aca="1" ref="H103" ca="1">+_xludf.IFS(G103="Vehículo - Uso individual","Auto",G103="Vehículo - Uso compartido","Auto",G103="Transporte público","Bus",G103="Moto","Moto",G103="Bicicleta o caminando","Bicicleta")</f>
        <v>#NAME?</v>
      </c>
      <c r="I103" s="1310">
        <v>1</v>
      </c>
      <c r="J103" s="1310">
        <v>42</v>
      </c>
      <c r="K103" s="1312" t="e">
        <f t="shared" ca="1" si="3"/>
        <v>#NAME?</v>
      </c>
      <c r="L103" s="1315" t="e">
        <f ca="1">+K103*I103*VLOOKUP(H103,'Factores Emisión EDGE'!$K$267:$L$272,2,FALSE)/1000</f>
        <v>#NAME?</v>
      </c>
    </row>
    <row r="104" spans="1:12">
      <c r="A104" s="1314">
        <v>44650.389252083332</v>
      </c>
      <c r="B104" s="1310" t="s">
        <v>2162</v>
      </c>
      <c r="C104" s="1310" t="s">
        <v>2163</v>
      </c>
      <c r="D104" s="1310" t="s">
        <v>1951</v>
      </c>
      <c r="E104" s="1310" t="s">
        <v>868</v>
      </c>
      <c r="F104" s="1310" t="e">
        <f t="array" aca="1" ref="F104" ca="1">+_xludf.IFS(E104="50% teletrabajo",0.5, E104="25% teletrabajo",0.75,E104="75% teletrabajo",0.25,E104="100% teletrabajo",0,E104="100% trabajo presencial",1)</f>
        <v>#NAME?</v>
      </c>
      <c r="G104" s="1310" t="s">
        <v>1964</v>
      </c>
      <c r="H104" s="1310" t="e">
        <f t="array" aca="1" ref="H104" ca="1">+_xludf.IFS(G104="Vehículo - Uso individual","Auto",G104="Vehículo - Uso compartido","Auto",G104="Transporte público","Bus",G104="Moto","Moto",G104="Bicicleta o caminando","Bicicleta")</f>
        <v>#NAME?</v>
      </c>
      <c r="I104" s="1310">
        <v>1</v>
      </c>
      <c r="J104" s="1310">
        <v>15</v>
      </c>
      <c r="K104" s="1312" t="e">
        <f t="shared" ca="1" si="3"/>
        <v>#NAME?</v>
      </c>
      <c r="L104" s="1315" t="e">
        <f ca="1">+K104*I104*VLOOKUP(H104,'Factores Emisión EDGE'!$K$267:$L$272,2,FALSE)/1000</f>
        <v>#NAME?</v>
      </c>
    </row>
    <row r="105" spans="1:12">
      <c r="A105" s="1314">
        <v>44650.389390729164</v>
      </c>
      <c r="B105" s="1310" t="s">
        <v>2164</v>
      </c>
      <c r="C105" s="1310" t="s">
        <v>2165</v>
      </c>
      <c r="D105" s="1310" t="s">
        <v>1951</v>
      </c>
      <c r="E105" s="1310" t="s">
        <v>868</v>
      </c>
      <c r="F105" s="1310" t="e">
        <f t="array" aca="1" ref="F105" ca="1">+_xludf.IFS(E105="50% teletrabajo",0.5, E105="25% teletrabajo",0.75,E105="75% teletrabajo",0.25,E105="100% teletrabajo",0,E105="100% trabajo presencial",1)</f>
        <v>#NAME?</v>
      </c>
      <c r="G105" s="1310" t="s">
        <v>1964</v>
      </c>
      <c r="H105" s="1310" t="e">
        <f t="array" aca="1" ref="H105" ca="1">+_xludf.IFS(G105="Vehículo - Uso individual","Auto",G105="Vehículo - Uso compartido","Auto",G105="Transporte público","Bus",G105="Moto","Moto",G105="Bicicleta o caminando","Bicicleta")</f>
        <v>#NAME?</v>
      </c>
      <c r="I105" s="1310">
        <v>1</v>
      </c>
      <c r="J105" s="1310">
        <v>8.3000000000000007</v>
      </c>
      <c r="K105" s="1312" t="e">
        <f t="shared" ca="1" si="3"/>
        <v>#NAME?</v>
      </c>
      <c r="L105" s="1315" t="e">
        <f ca="1">+K105*I105*VLOOKUP(H105,'Factores Emisión EDGE'!$K$267:$L$272,2,FALSE)/1000</f>
        <v>#NAME?</v>
      </c>
    </row>
    <row r="106" spans="1:12">
      <c r="A106" s="1314">
        <v>44650.389731793985</v>
      </c>
      <c r="B106" s="1310" t="s">
        <v>2166</v>
      </c>
      <c r="C106" s="1310" t="s">
        <v>2167</v>
      </c>
      <c r="D106" s="1310" t="s">
        <v>1951</v>
      </c>
      <c r="E106" s="1310" t="s">
        <v>868</v>
      </c>
      <c r="F106" s="1310" t="e">
        <f t="array" aca="1" ref="F106" ca="1">+_xludf.IFS(E106="50% teletrabajo",0.5, E106="25% teletrabajo",0.75,E106="75% teletrabajo",0.25,E106="100% teletrabajo",0,E106="100% trabajo presencial",1)</f>
        <v>#NAME?</v>
      </c>
      <c r="G106" s="1310" t="s">
        <v>1952</v>
      </c>
      <c r="H106" s="1310" t="e">
        <f t="array" aca="1" ref="H106" ca="1">+_xludf.IFS(G106="Vehículo - Uso individual","Auto",G106="Vehículo - Uso compartido","Auto",G106="Transporte público","Bus",G106="Moto","Moto",G106="Bicicleta o caminando","Bicicleta")</f>
        <v>#NAME?</v>
      </c>
      <c r="I106" s="1310">
        <v>1</v>
      </c>
      <c r="J106" s="1310">
        <v>37</v>
      </c>
      <c r="K106" s="1312" t="e">
        <f t="shared" ca="1" si="3"/>
        <v>#NAME?</v>
      </c>
      <c r="L106" s="1315" t="e">
        <f ca="1">+K106*I106*VLOOKUP(H106,'Factores Emisión EDGE'!$K$267:$L$272,2,FALSE)/1000</f>
        <v>#NAME?</v>
      </c>
    </row>
    <row r="107" spans="1:12">
      <c r="A107" s="1314">
        <v>44650.390117824078</v>
      </c>
      <c r="B107" s="1310" t="s">
        <v>2168</v>
      </c>
      <c r="C107" s="1310" t="s">
        <v>2169</v>
      </c>
      <c r="D107" s="1310" t="s">
        <v>1951</v>
      </c>
      <c r="E107" s="1310" t="s">
        <v>1960</v>
      </c>
      <c r="F107" s="1310" t="e">
        <f t="array" aca="1" ref="F107" ca="1">+_xludf.IFS(E107="50% teletrabajo",0.5, E107="25% teletrabajo",0.75,E107="75% teletrabajo",0.25,E107="100% teletrabajo",0,E107="100% trabajo presencial",1)</f>
        <v>#NAME?</v>
      </c>
      <c r="G107" s="1310" t="s">
        <v>1964</v>
      </c>
      <c r="H107" s="1310" t="e">
        <f t="array" aca="1" ref="H107" ca="1">+_xludf.IFS(G107="Vehículo - Uso individual","Auto",G107="Vehículo - Uso compartido","Auto",G107="Transporte público","Bus",G107="Moto","Moto",G107="Bicicleta o caminando","Bicicleta")</f>
        <v>#NAME?</v>
      </c>
      <c r="I107" s="1310">
        <v>1</v>
      </c>
      <c r="J107" s="1310">
        <v>3</v>
      </c>
      <c r="K107" s="1312" t="e">
        <f t="shared" ca="1" si="3"/>
        <v>#NAME?</v>
      </c>
      <c r="L107" s="1315" t="e">
        <f ca="1">+K107*I107*VLOOKUP(H107,'Factores Emisión EDGE'!$K$267:$L$272,2,FALSE)/1000</f>
        <v>#NAME?</v>
      </c>
    </row>
    <row r="108" spans="1:12">
      <c r="A108" s="1314">
        <v>44650.390123819445</v>
      </c>
      <c r="B108" s="1310" t="s">
        <v>2170</v>
      </c>
      <c r="C108" s="1310" t="s">
        <v>2171</v>
      </c>
      <c r="D108" s="1310" t="s">
        <v>1951</v>
      </c>
      <c r="E108" s="1310" t="s">
        <v>1960</v>
      </c>
      <c r="F108" s="1310" t="e">
        <f t="array" aca="1" ref="F108" ca="1">+_xludf.IFS(E108="50% teletrabajo",0.5, E108="25% teletrabajo",0.75,E108="75% teletrabajo",0.25,E108="100% teletrabajo",0,E108="100% trabajo presencial",1)</f>
        <v>#NAME?</v>
      </c>
      <c r="G108" s="1310" t="s">
        <v>1952</v>
      </c>
      <c r="H108" s="1310" t="e">
        <f t="array" aca="1" ref="H108" ca="1">+_xludf.IFS(G108="Vehículo - Uso individual","Auto",G108="Vehículo - Uso compartido","Auto",G108="Transporte público","Bus",G108="Moto","Moto",G108="Bicicleta o caminando","Bicicleta")</f>
        <v>#NAME?</v>
      </c>
      <c r="I108" s="1310">
        <v>1</v>
      </c>
      <c r="J108" s="1310">
        <v>0</v>
      </c>
      <c r="K108" s="1312" t="e">
        <f t="shared" ca="1" si="3"/>
        <v>#NAME?</v>
      </c>
      <c r="L108" s="1315" t="e">
        <f ca="1">+K108*I108*VLOOKUP(H108,'Factores Emisión EDGE'!$K$267:$L$272,2,FALSE)/1000</f>
        <v>#NAME?</v>
      </c>
    </row>
    <row r="109" spans="1:12">
      <c r="A109" s="1314">
        <v>44650.390778611109</v>
      </c>
      <c r="B109" s="1310" t="s">
        <v>2172</v>
      </c>
      <c r="C109" s="1310" t="s">
        <v>2173</v>
      </c>
      <c r="D109" s="1310" t="s">
        <v>1951</v>
      </c>
      <c r="E109" s="1310" t="s">
        <v>1960</v>
      </c>
      <c r="F109" s="1310" t="e">
        <f t="array" aca="1" ref="F109" ca="1">+_xludf.IFS(E109="50% teletrabajo",0.5, E109="25% teletrabajo",0.75,E109="75% teletrabajo",0.25,E109="100% teletrabajo",0,E109="100% trabajo presencial",1)</f>
        <v>#NAME?</v>
      </c>
      <c r="G109" s="1310" t="s">
        <v>1952</v>
      </c>
      <c r="H109" s="1310" t="e">
        <f t="array" aca="1" ref="H109" ca="1">+_xludf.IFS(G109="Vehículo - Uso individual","Auto",G109="Vehículo - Uso compartido","Auto",G109="Transporte público","Bus",G109="Moto","Moto",G109="Bicicleta o caminando","Bicicleta")</f>
        <v>#NAME?</v>
      </c>
      <c r="I109" s="1310">
        <v>1</v>
      </c>
      <c r="J109" s="1310">
        <v>10</v>
      </c>
      <c r="K109" s="1312" t="e">
        <f t="shared" ca="1" si="3"/>
        <v>#NAME?</v>
      </c>
      <c r="L109" s="1315" t="e">
        <f ca="1">+K109*I109*VLOOKUP(H109,'Factores Emisión EDGE'!$K$267:$L$272,2,FALSE)/1000</f>
        <v>#NAME?</v>
      </c>
    </row>
    <row r="110" spans="1:12">
      <c r="A110" s="1314">
        <v>44650.391029456019</v>
      </c>
      <c r="B110" s="1310" t="s">
        <v>2174</v>
      </c>
      <c r="C110" s="1310" t="s">
        <v>2175</v>
      </c>
      <c r="D110" s="1310" t="s">
        <v>1951</v>
      </c>
      <c r="E110" s="1310" t="s">
        <v>1960</v>
      </c>
      <c r="F110" s="1310" t="e">
        <f t="array" aca="1" ref="F110" ca="1">+_xludf.IFS(E110="50% teletrabajo",0.5, E110="25% teletrabajo",0.75,E110="75% teletrabajo",0.25,E110="100% teletrabajo",0,E110="100% trabajo presencial",1)</f>
        <v>#NAME?</v>
      </c>
      <c r="G110" s="1310" t="s">
        <v>1995</v>
      </c>
      <c r="H110" s="1310" t="e">
        <f t="array" aca="1" ref="H110" ca="1">+_xludf.IFS(G110="Vehículo - Uso individual","Auto",G110="Vehículo - Uso compartido","Auto",G110="Transporte público","Bus",G110="Moto","Moto",G110="Bicicleta o caminando","Bicicleta")</f>
        <v>#NAME?</v>
      </c>
      <c r="I110" s="1310">
        <v>0.25</v>
      </c>
      <c r="J110" s="1310">
        <v>33</v>
      </c>
      <c r="K110" s="1312" t="e">
        <f t="shared" ca="1" si="3"/>
        <v>#NAME?</v>
      </c>
      <c r="L110" s="1315" t="e">
        <f ca="1">+K110*I110*VLOOKUP(H110,'Factores Emisión EDGE'!$K$267:$L$272,2,FALSE)/1000</f>
        <v>#NAME?</v>
      </c>
    </row>
    <row r="111" spans="1:12">
      <c r="A111" s="1314">
        <v>44650.391073969906</v>
      </c>
      <c r="B111" s="1310" t="s">
        <v>2176</v>
      </c>
      <c r="C111" s="1310" t="s">
        <v>2177</v>
      </c>
      <c r="D111" s="1310" t="s">
        <v>1951</v>
      </c>
      <c r="E111" s="1310" t="s">
        <v>1960</v>
      </c>
      <c r="F111" s="1310" t="e">
        <f t="array" aca="1" ref="F111" ca="1">+_xludf.IFS(E111="50% teletrabajo",0.5, E111="25% teletrabajo",0.75,E111="75% teletrabajo",0.25,E111="100% teletrabajo",0,E111="100% trabajo presencial",1)</f>
        <v>#NAME?</v>
      </c>
      <c r="G111" s="1310" t="s">
        <v>1964</v>
      </c>
      <c r="H111" s="1310" t="e">
        <f t="array" aca="1" ref="H111" ca="1">+_xludf.IFS(G111="Vehículo - Uso individual","Auto",G111="Vehículo - Uso compartido","Auto",G111="Transporte público","Bus",G111="Moto","Moto",G111="Bicicleta o caminando","Bicicleta")</f>
        <v>#NAME?</v>
      </c>
      <c r="I111" s="1310">
        <v>1</v>
      </c>
      <c r="J111" s="1319">
        <v>5000</v>
      </c>
      <c r="K111" s="1312" t="e">
        <f t="shared" ca="1" si="3"/>
        <v>#NAME?</v>
      </c>
      <c r="L111" s="1315" t="e">
        <f ca="1">+K111*I111*VLOOKUP(H111,'Factores Emisión EDGE'!$K$267:$L$272,2,FALSE)/1000</f>
        <v>#NAME?</v>
      </c>
    </row>
    <row r="112" spans="1:12">
      <c r="A112" s="1314">
        <v>44650.391131018521</v>
      </c>
      <c r="B112" s="1310" t="s">
        <v>2178</v>
      </c>
      <c r="C112" s="1310" t="s">
        <v>2179</v>
      </c>
      <c r="D112" s="1310" t="s">
        <v>1951</v>
      </c>
      <c r="E112" s="1310" t="s">
        <v>1965</v>
      </c>
      <c r="F112" s="1310" t="e">
        <f t="array" aca="1" ref="F112" ca="1">+_xludf.IFS(E112="50% teletrabajo",0.5, E112="25% teletrabajo",0.75,E112="75% teletrabajo",0.25,E112="100% teletrabajo",0,E112="100% trabajo presencial",1)</f>
        <v>#NAME?</v>
      </c>
      <c r="G112" s="1310" t="s">
        <v>1952</v>
      </c>
      <c r="H112" s="1310" t="e">
        <f t="array" aca="1" ref="H112" ca="1">+_xludf.IFS(G112="Vehículo - Uso individual","Auto",G112="Vehículo - Uso compartido","Auto",G112="Transporte público","Bus",G112="Moto","Moto",G112="Bicicleta o caminando","Bicicleta")</f>
        <v>#NAME?</v>
      </c>
      <c r="I112" s="1310">
        <v>1</v>
      </c>
      <c r="J112" s="1310">
        <v>10</v>
      </c>
      <c r="K112" s="1312" t="e">
        <f t="shared" ca="1" si="3"/>
        <v>#NAME?</v>
      </c>
      <c r="L112" s="1315" t="e">
        <f ca="1">+K112*I112*VLOOKUP(H112,'Factores Emisión EDGE'!$K$267:$L$272,2,FALSE)/1000</f>
        <v>#NAME?</v>
      </c>
    </row>
    <row r="113" spans="1:12">
      <c r="A113" s="1314">
        <v>44650.391325937497</v>
      </c>
      <c r="B113" s="1310" t="s">
        <v>2180</v>
      </c>
      <c r="C113" s="1310" t="s">
        <v>2181</v>
      </c>
      <c r="D113" s="1310" t="s">
        <v>1951</v>
      </c>
      <c r="E113" s="1310" t="s">
        <v>868</v>
      </c>
      <c r="F113" s="1310" t="e">
        <f t="array" aca="1" ref="F113" ca="1">+_xludf.IFS(E113="50% teletrabajo",0.5, E113="25% teletrabajo",0.75,E113="75% teletrabajo",0.25,E113="100% teletrabajo",0,E113="100% trabajo presencial",1)</f>
        <v>#NAME?</v>
      </c>
      <c r="G113" s="1310" t="s">
        <v>1952</v>
      </c>
      <c r="H113" s="1310" t="e">
        <f t="array" aca="1" ref="H113" ca="1">+_xludf.IFS(G113="Vehículo - Uso individual","Auto",G113="Vehículo - Uso compartido","Auto",G113="Transporte público","Bus",G113="Moto","Moto",G113="Bicicleta o caminando","Bicicleta")</f>
        <v>#NAME?</v>
      </c>
      <c r="I113" s="1310">
        <v>1</v>
      </c>
      <c r="J113" s="1310">
        <v>30</v>
      </c>
      <c r="K113" s="1312" t="e">
        <f t="shared" ca="1" si="3"/>
        <v>#NAME?</v>
      </c>
      <c r="L113" s="1315" t="e">
        <f ca="1">+K113*I113*VLOOKUP(H113,'Factores Emisión EDGE'!$K$267:$L$272,2,FALSE)/1000</f>
        <v>#NAME?</v>
      </c>
    </row>
    <row r="114" spans="1:12">
      <c r="A114" s="1314">
        <v>44650.391417037041</v>
      </c>
      <c r="B114" s="1310" t="s">
        <v>2182</v>
      </c>
      <c r="C114" s="1310" t="s">
        <v>2183</v>
      </c>
      <c r="D114" s="1310" t="s">
        <v>1951</v>
      </c>
      <c r="E114" s="1310" t="s">
        <v>1965</v>
      </c>
      <c r="F114" s="1310" t="e">
        <f t="array" aca="1" ref="F114" ca="1">+_xludf.IFS(E114="50% teletrabajo",0.5, E114="25% teletrabajo",0.75,E114="75% teletrabajo",0.25,E114="100% teletrabajo",0,E114="100% trabajo presencial",1)</f>
        <v>#NAME?</v>
      </c>
      <c r="G114" s="1310" t="s">
        <v>1952</v>
      </c>
      <c r="H114" s="1310" t="e">
        <f t="array" aca="1" ref="H114" ca="1">+_xludf.IFS(G114="Vehículo - Uso individual","Auto",G114="Vehículo - Uso compartido","Auto",G114="Transporte público","Bus",G114="Moto","Moto",G114="Bicicleta o caminando","Bicicleta")</f>
        <v>#NAME?</v>
      </c>
      <c r="I114" s="1310">
        <v>1</v>
      </c>
      <c r="J114" s="1310">
        <v>8</v>
      </c>
      <c r="K114" s="1312" t="e">
        <f t="shared" ca="1" si="3"/>
        <v>#NAME?</v>
      </c>
      <c r="L114" s="1315" t="e">
        <f ca="1">+K114*I114*VLOOKUP(H114,'Factores Emisión EDGE'!$K$267:$L$272,2,FALSE)/1000</f>
        <v>#NAME?</v>
      </c>
    </row>
    <row r="115" spans="1:12">
      <c r="A115" s="1314">
        <v>44650.391633657404</v>
      </c>
      <c r="B115" s="1310" t="s">
        <v>2184</v>
      </c>
      <c r="C115" s="1310" t="s">
        <v>2185</v>
      </c>
      <c r="D115" s="1310" t="s">
        <v>1951</v>
      </c>
      <c r="E115" s="1310" t="s">
        <v>868</v>
      </c>
      <c r="F115" s="1310" t="e">
        <f t="array" aca="1" ref="F115" ca="1">+_xludf.IFS(E115="50% teletrabajo",0.5, E115="25% teletrabajo",0.75,E115="75% teletrabajo",0.25,E115="100% teletrabajo",0,E115="100% trabajo presencial",1)</f>
        <v>#NAME?</v>
      </c>
      <c r="G115" s="1310" t="s">
        <v>1952</v>
      </c>
      <c r="H115" s="1310" t="e">
        <f t="array" aca="1" ref="H115" ca="1">+_xludf.IFS(G115="Vehículo - Uso individual","Auto",G115="Vehículo - Uso compartido","Auto",G115="Transporte público","Bus",G115="Moto","Moto",G115="Bicicleta o caminando","Bicicleta")</f>
        <v>#NAME?</v>
      </c>
      <c r="I115" s="1310">
        <v>1</v>
      </c>
      <c r="J115" s="1310">
        <v>20</v>
      </c>
      <c r="K115" s="1312" t="e">
        <f t="shared" ca="1" si="3"/>
        <v>#NAME?</v>
      </c>
      <c r="L115" s="1315" t="e">
        <f ca="1">+K115*I115*VLOOKUP(H115,'Factores Emisión EDGE'!$K$267:$L$272,2,FALSE)/1000</f>
        <v>#NAME?</v>
      </c>
    </row>
    <row r="116" spans="1:12">
      <c r="A116" s="1314">
        <v>44650.391844652782</v>
      </c>
      <c r="B116" s="1310" t="s">
        <v>2186</v>
      </c>
      <c r="C116" s="1310" t="s">
        <v>2187</v>
      </c>
      <c r="D116" s="1310" t="s">
        <v>1951</v>
      </c>
      <c r="E116" s="1310" t="s">
        <v>1960</v>
      </c>
      <c r="F116" s="1310" t="e">
        <f t="array" aca="1" ref="F116" ca="1">+_xludf.IFS(E116="50% teletrabajo",0.5, E116="25% teletrabajo",0.75,E116="75% teletrabajo",0.25,E116="100% teletrabajo",0,E116="100% trabajo presencial",1)</f>
        <v>#NAME?</v>
      </c>
      <c r="G116" s="1310" t="s">
        <v>863</v>
      </c>
      <c r="H116" s="1310" t="e">
        <f t="array" aca="1" ref="H116" ca="1">+_xludf.IFS(G116="Vehículo - Uso individual","Auto",G116="Vehículo - Uso compartido","Auto",G116="Transporte público","Bus",G116="Moto","Moto",G116="Bicicleta o caminando","Bicicleta")</f>
        <v>#NAME?</v>
      </c>
      <c r="I116" s="1310">
        <v>1</v>
      </c>
      <c r="J116" s="1310">
        <v>20</v>
      </c>
      <c r="K116" s="1312" t="e">
        <f t="shared" ca="1" si="3"/>
        <v>#NAME?</v>
      </c>
      <c r="L116" s="1315" t="e">
        <f ca="1">+K116*I116*VLOOKUP(H116,'Factores Emisión EDGE'!$K$267:$L$272,2,FALSE)/1000</f>
        <v>#NAME?</v>
      </c>
    </row>
    <row r="117" spans="1:12">
      <c r="A117" s="1314">
        <v>44650.391872002314</v>
      </c>
      <c r="B117" s="1310" t="s">
        <v>2188</v>
      </c>
      <c r="C117" s="1310" t="s">
        <v>2189</v>
      </c>
      <c r="D117" s="1310" t="s">
        <v>1951</v>
      </c>
      <c r="E117" s="1310" t="s">
        <v>868</v>
      </c>
      <c r="F117" s="1310" t="e">
        <f t="array" aca="1" ref="F117" ca="1">+_xludf.IFS(E117="50% teletrabajo",0.5, E117="25% teletrabajo",0.75,E117="75% teletrabajo",0.25,E117="100% teletrabajo",0,E117="100% trabajo presencial",1)</f>
        <v>#NAME?</v>
      </c>
      <c r="G117" s="1319" t="s">
        <v>1952</v>
      </c>
      <c r="H117" s="1310" t="e">
        <f t="array" aca="1" ref="H117" ca="1">+_xludf.IFS(G117="Vehículo - Uso individual","Auto",G117="Vehículo - Uso compartido","Auto",G117="Transporte público","Bus",G117="Moto","Moto",G117="Bicicleta o caminando","Bicicleta")</f>
        <v>#NAME?</v>
      </c>
      <c r="I117" s="1310">
        <v>1</v>
      </c>
      <c r="J117" s="1319">
        <v>90</v>
      </c>
      <c r="K117" s="1312" t="e">
        <f t="shared" ca="1" si="3"/>
        <v>#NAME?</v>
      </c>
      <c r="L117" s="1315" t="e">
        <f ca="1">+K117*I117*VLOOKUP(H117,'Factores Emisión EDGE'!$K$267:$L$272,2,FALSE)/1000</f>
        <v>#NAME?</v>
      </c>
    </row>
    <row r="118" spans="1:12">
      <c r="A118" s="1314">
        <v>44650.391954872684</v>
      </c>
      <c r="B118" s="1310" t="s">
        <v>2190</v>
      </c>
      <c r="C118" s="1310" t="s">
        <v>2191</v>
      </c>
      <c r="D118" s="1310" t="s">
        <v>1951</v>
      </c>
      <c r="E118" s="1310" t="s">
        <v>868</v>
      </c>
      <c r="F118" s="1310" t="e">
        <f t="array" aca="1" ref="F118" ca="1">+_xludf.IFS(E118="50% teletrabajo",0.5, E118="25% teletrabajo",0.75,E118="75% teletrabajo",0.25,E118="100% teletrabajo",0,E118="100% trabajo presencial",1)</f>
        <v>#NAME?</v>
      </c>
      <c r="G118" s="1310" t="s">
        <v>1964</v>
      </c>
      <c r="H118" s="1310" t="e">
        <f t="array" aca="1" ref="H118" ca="1">+_xludf.IFS(G118="Vehículo - Uso individual","Auto",G118="Vehículo - Uso compartido","Auto",G118="Transporte público","Bus",G118="Moto","Moto",G118="Bicicleta o caminando","Bicicleta")</f>
        <v>#NAME?</v>
      </c>
      <c r="I118" s="1310">
        <v>1</v>
      </c>
      <c r="J118" s="1310">
        <v>8.5</v>
      </c>
      <c r="K118" s="1312" t="e">
        <f t="shared" ca="1" si="3"/>
        <v>#NAME?</v>
      </c>
      <c r="L118" s="1315" t="e">
        <f ca="1">+K118*I118*VLOOKUP(H118,'Factores Emisión EDGE'!$K$267:$L$272,2,FALSE)/1000</f>
        <v>#NAME?</v>
      </c>
    </row>
    <row r="119" spans="1:12">
      <c r="A119" s="1314">
        <v>44650.392185914352</v>
      </c>
      <c r="B119" s="1310" t="s">
        <v>2192</v>
      </c>
      <c r="C119" s="1310" t="s">
        <v>2193</v>
      </c>
      <c r="D119" s="1310" t="s">
        <v>1951</v>
      </c>
      <c r="E119" s="1310" t="s">
        <v>1965</v>
      </c>
      <c r="F119" s="1310" t="e">
        <f t="array" aca="1" ref="F119" ca="1">+_xludf.IFS(E119="50% teletrabajo",0.5, E119="25% teletrabajo",0.75,E119="75% teletrabajo",0.25,E119="100% teletrabajo",0,E119="100% trabajo presencial",1)</f>
        <v>#NAME?</v>
      </c>
      <c r="G119" s="1310" t="s">
        <v>1952</v>
      </c>
      <c r="H119" s="1310" t="e">
        <f t="array" aca="1" ref="H119" ca="1">+_xludf.IFS(G119="Vehículo - Uso individual","Auto",G119="Vehículo - Uso compartido","Auto",G119="Transporte público","Bus",G119="Moto","Moto",G119="Bicicleta o caminando","Bicicleta")</f>
        <v>#NAME?</v>
      </c>
      <c r="I119" s="1310">
        <v>1</v>
      </c>
      <c r="J119" s="1310">
        <v>7.5</v>
      </c>
      <c r="K119" s="1312" t="e">
        <f t="shared" ca="1" si="3"/>
        <v>#NAME?</v>
      </c>
      <c r="L119" s="1315" t="e">
        <f ca="1">+K119*I119*VLOOKUP(H119,'Factores Emisión EDGE'!$K$267:$L$272,2,FALSE)/1000</f>
        <v>#NAME?</v>
      </c>
    </row>
    <row r="120" spans="1:12">
      <c r="A120" s="1314">
        <v>44650.392446099533</v>
      </c>
      <c r="B120" s="1310" t="s">
        <v>2194</v>
      </c>
      <c r="C120" s="1310" t="s">
        <v>2195</v>
      </c>
      <c r="D120" s="1310" t="s">
        <v>1951</v>
      </c>
      <c r="E120" s="1310" t="s">
        <v>868</v>
      </c>
      <c r="F120" s="1310" t="e">
        <f t="array" aca="1" ref="F120" ca="1">+_xludf.IFS(E120="50% teletrabajo",0.5, E120="25% teletrabajo",0.75,E120="75% teletrabajo",0.25,E120="100% teletrabajo",0,E120="100% trabajo presencial",1)</f>
        <v>#NAME?</v>
      </c>
      <c r="G120" s="1310" t="s">
        <v>1964</v>
      </c>
      <c r="H120" s="1310" t="e">
        <f t="array" aca="1" ref="H120" ca="1">+_xludf.IFS(G120="Vehículo - Uso individual","Auto",G120="Vehículo - Uso compartido","Auto",G120="Transporte público","Bus",G120="Moto","Moto",G120="Bicicleta o caminando","Bicicleta")</f>
        <v>#NAME?</v>
      </c>
      <c r="I120" s="1310">
        <v>1</v>
      </c>
      <c r="J120" s="1310">
        <v>32</v>
      </c>
      <c r="K120" s="1312" t="e">
        <f t="shared" ca="1" si="3"/>
        <v>#NAME?</v>
      </c>
      <c r="L120" s="1315" t="e">
        <f ca="1">+K120*I120*VLOOKUP(H120,'Factores Emisión EDGE'!$K$267:$L$272,2,FALSE)/1000</f>
        <v>#NAME?</v>
      </c>
    </row>
    <row r="121" spans="1:12">
      <c r="A121" s="1314">
        <v>44650.392678275464</v>
      </c>
      <c r="B121" s="1310" t="s">
        <v>2196</v>
      </c>
      <c r="C121" s="1310" t="s">
        <v>2197</v>
      </c>
      <c r="D121" s="1310" t="s">
        <v>1951</v>
      </c>
      <c r="E121" s="1310" t="s">
        <v>868</v>
      </c>
      <c r="F121" s="1310" t="e">
        <f t="array" aca="1" ref="F121" ca="1">+_xludf.IFS(E121="50% teletrabajo",0.5, E121="25% teletrabajo",0.75,E121="75% teletrabajo",0.25,E121="100% teletrabajo",0,E121="100% trabajo presencial",1)</f>
        <v>#NAME?</v>
      </c>
      <c r="G121" s="1310" t="s">
        <v>1952</v>
      </c>
      <c r="H121" s="1310" t="e">
        <f t="array" aca="1" ref="H121" ca="1">+_xludf.IFS(G121="Vehículo - Uso individual","Auto",G121="Vehículo - Uso compartido","Auto",G121="Transporte público","Bus",G121="Moto","Moto",G121="Bicicleta o caminando","Bicicleta")</f>
        <v>#NAME?</v>
      </c>
      <c r="I121" s="1310">
        <v>1</v>
      </c>
      <c r="J121" s="1310">
        <v>7</v>
      </c>
      <c r="K121" s="1312" t="e">
        <f t="shared" ca="1" si="3"/>
        <v>#NAME?</v>
      </c>
      <c r="L121" s="1315" t="e">
        <f ca="1">+K121*I121*VLOOKUP(H121,'Factores Emisión EDGE'!$K$267:$L$272,2,FALSE)/1000</f>
        <v>#NAME?</v>
      </c>
    </row>
    <row r="122" spans="1:12">
      <c r="A122" s="1314">
        <v>44650.392700092591</v>
      </c>
      <c r="B122" s="1310" t="s">
        <v>2198</v>
      </c>
      <c r="C122" s="1310" t="s">
        <v>2199</v>
      </c>
      <c r="D122" s="1310" t="s">
        <v>1951</v>
      </c>
      <c r="E122" s="1310" t="s">
        <v>868</v>
      </c>
      <c r="F122" s="1310" t="e">
        <f t="array" aca="1" ref="F122" ca="1">+_xludf.IFS(E122="50% teletrabajo",0.5, E122="25% teletrabajo",0.75,E122="75% teletrabajo",0.25,E122="100% teletrabajo",0,E122="100% trabajo presencial",1)</f>
        <v>#NAME?</v>
      </c>
      <c r="G122" s="1310" t="s">
        <v>1964</v>
      </c>
      <c r="H122" s="1310" t="e">
        <f t="array" aca="1" ref="H122" ca="1">+_xludf.IFS(G122="Vehículo - Uso individual","Auto",G122="Vehículo - Uso compartido","Auto",G122="Transporte público","Bus",G122="Moto","Moto",G122="Bicicleta o caminando","Bicicleta")</f>
        <v>#NAME?</v>
      </c>
      <c r="I122" s="1310">
        <v>1</v>
      </c>
      <c r="J122" s="1310">
        <v>15</v>
      </c>
      <c r="K122" s="1312" t="e">
        <f t="shared" ca="1" si="3"/>
        <v>#NAME?</v>
      </c>
      <c r="L122" s="1315" t="e">
        <f ca="1">+K122*I122*VLOOKUP(H122,'Factores Emisión EDGE'!$K$267:$L$272,2,FALSE)/1000</f>
        <v>#NAME?</v>
      </c>
    </row>
    <row r="123" spans="1:12">
      <c r="A123" s="1314">
        <v>44650.392715347218</v>
      </c>
      <c r="B123" s="1310" t="s">
        <v>2200</v>
      </c>
      <c r="C123" s="1310" t="s">
        <v>2201</v>
      </c>
      <c r="D123" s="1310" t="s">
        <v>1951</v>
      </c>
      <c r="E123" s="1310" t="s">
        <v>1960</v>
      </c>
      <c r="F123" s="1310" t="e">
        <f t="array" aca="1" ref="F123" ca="1">+_xludf.IFS(E123="50% teletrabajo",0.5, E123="25% teletrabajo",0.75,E123="75% teletrabajo",0.25,E123="100% teletrabajo",0,E123="100% trabajo presencial",1)</f>
        <v>#NAME?</v>
      </c>
      <c r="G123" s="1310" t="s">
        <v>1952</v>
      </c>
      <c r="H123" s="1310" t="e">
        <f t="array" aca="1" ref="H123" ca="1">+_xludf.IFS(G123="Vehículo - Uso individual","Auto",G123="Vehículo - Uso compartido","Auto",G123="Transporte público","Bus",G123="Moto","Moto",G123="Bicicleta o caminando","Bicicleta")</f>
        <v>#NAME?</v>
      </c>
      <c r="I123" s="1310">
        <v>1</v>
      </c>
      <c r="J123" s="1310">
        <v>0</v>
      </c>
      <c r="K123" s="1312" t="e">
        <f t="shared" ca="1" si="3"/>
        <v>#NAME?</v>
      </c>
      <c r="L123" s="1315" t="e">
        <f ca="1">+K123*I123*VLOOKUP(H123,'Factores Emisión EDGE'!$K$267:$L$272,2,FALSE)/1000</f>
        <v>#NAME?</v>
      </c>
    </row>
    <row r="124" spans="1:12">
      <c r="A124" s="1314">
        <v>44650.393244039355</v>
      </c>
      <c r="B124" s="1310" t="s">
        <v>2202</v>
      </c>
      <c r="C124" s="1310" t="s">
        <v>2203</v>
      </c>
      <c r="D124" s="1310" t="s">
        <v>1951</v>
      </c>
      <c r="E124" s="1310" t="s">
        <v>1965</v>
      </c>
      <c r="F124" s="1310" t="e">
        <f t="array" aca="1" ref="F124" ca="1">+_xludf.IFS(E124="50% teletrabajo",0.5, E124="25% teletrabajo",0.75,E124="75% teletrabajo",0.25,E124="100% teletrabajo",0,E124="100% trabajo presencial",1)</f>
        <v>#NAME?</v>
      </c>
      <c r="G124" s="1310" t="s">
        <v>1964</v>
      </c>
      <c r="H124" s="1310" t="e">
        <f t="array" aca="1" ref="H124" ca="1">+_xludf.IFS(G124="Vehículo - Uso individual","Auto",G124="Vehículo - Uso compartido","Auto",G124="Transporte público","Bus",G124="Moto","Moto",G124="Bicicleta o caminando","Bicicleta")</f>
        <v>#NAME?</v>
      </c>
      <c r="I124" s="1310">
        <v>1</v>
      </c>
      <c r="J124" s="1310">
        <v>40</v>
      </c>
      <c r="K124" s="1312" t="e">
        <f t="shared" ca="1" si="3"/>
        <v>#NAME?</v>
      </c>
      <c r="L124" s="1315" t="e">
        <f ca="1">+K124*I124*VLOOKUP(H124,'Factores Emisión EDGE'!$K$267:$L$272,2,FALSE)/1000</f>
        <v>#NAME?</v>
      </c>
    </row>
    <row r="125" spans="1:12">
      <c r="A125" s="1314">
        <v>44650.393992094905</v>
      </c>
      <c r="B125" s="1310" t="s">
        <v>2204</v>
      </c>
      <c r="C125" s="1310" t="s">
        <v>2205</v>
      </c>
      <c r="D125" s="1310" t="s">
        <v>1951</v>
      </c>
      <c r="E125" s="1310" t="s">
        <v>868</v>
      </c>
      <c r="F125" s="1310" t="e">
        <f t="array" aca="1" ref="F125" ca="1">+_xludf.IFS(E125="50% teletrabajo",0.5, E125="25% teletrabajo",0.75,E125="75% teletrabajo",0.25,E125="100% teletrabajo",0,E125="100% trabajo presencial",1)</f>
        <v>#NAME?</v>
      </c>
      <c r="G125" s="1310" t="s">
        <v>1995</v>
      </c>
      <c r="H125" s="1310" t="e">
        <f t="array" aca="1" ref="H125" ca="1">+_xludf.IFS(G125="Vehículo - Uso individual","Auto",G125="Vehículo - Uso compartido","Auto",G125="Transporte público","Bus",G125="Moto","Moto",G125="Bicicleta o caminando","Bicicleta")</f>
        <v>#NAME?</v>
      </c>
      <c r="I125" s="1310">
        <v>0.25</v>
      </c>
      <c r="J125" s="1310">
        <v>30</v>
      </c>
      <c r="K125" s="1312" t="e">
        <f t="shared" ca="1" si="3"/>
        <v>#NAME?</v>
      </c>
      <c r="L125" s="1315" t="e">
        <f ca="1">+K125*I125*VLOOKUP(H125,'Factores Emisión EDGE'!$K$267:$L$272,2,FALSE)/1000</f>
        <v>#NAME?</v>
      </c>
    </row>
    <row r="126" spans="1:12">
      <c r="A126" s="1314">
        <v>44650.394032650467</v>
      </c>
      <c r="B126" s="1310" t="s">
        <v>2206</v>
      </c>
      <c r="C126" s="1310" t="s">
        <v>2207</v>
      </c>
      <c r="D126" s="1310" t="s">
        <v>1951</v>
      </c>
      <c r="E126" s="1310" t="s">
        <v>1955</v>
      </c>
      <c r="F126" s="1310" t="e">
        <f t="array" aca="1" ref="F126" ca="1">+_xludf.IFS(E126="50% teletrabajo",0.5, E126="25% teletrabajo",0.75,E126="75% teletrabajo",0.25,E126="100% teletrabajo",0,E126="100% trabajo presencial",1)</f>
        <v>#NAME?</v>
      </c>
      <c r="G126" s="1310" t="s">
        <v>1952</v>
      </c>
      <c r="H126" s="1310" t="e">
        <f t="array" aca="1" ref="H126" ca="1">+_xludf.IFS(G126="Vehículo - Uso individual","Auto",G126="Vehículo - Uso compartido","Auto",G126="Transporte público","Bus",G126="Moto","Moto",G126="Bicicleta o caminando","Bicicleta")</f>
        <v>#NAME?</v>
      </c>
      <c r="I126" s="1310">
        <v>1</v>
      </c>
      <c r="J126" s="1310">
        <v>26</v>
      </c>
      <c r="K126" s="1312" t="e">
        <f t="shared" ca="1" si="3"/>
        <v>#NAME?</v>
      </c>
      <c r="L126" s="1315" t="e">
        <f ca="1">+K126*I126*VLOOKUP(H126,'Factores Emisión EDGE'!$K$267:$L$272,2,FALSE)/1000</f>
        <v>#NAME?</v>
      </c>
    </row>
    <row r="127" spans="1:12">
      <c r="A127" s="1314">
        <v>44650.394471388892</v>
      </c>
      <c r="B127" s="1310" t="s">
        <v>2208</v>
      </c>
      <c r="C127" s="1310" t="s">
        <v>2209</v>
      </c>
      <c r="D127" s="1310" t="s">
        <v>1951</v>
      </c>
      <c r="E127" s="1310" t="s">
        <v>868</v>
      </c>
      <c r="F127" s="1310" t="e">
        <f t="array" aca="1" ref="F127" ca="1">+_xludf.IFS(E127="50% teletrabajo",0.5, E127="25% teletrabajo",0.75,E127="75% teletrabajo",0.25,E127="100% teletrabajo",0,E127="100% trabajo presencial",1)</f>
        <v>#NAME?</v>
      </c>
      <c r="G127" s="1310" t="s">
        <v>1995</v>
      </c>
      <c r="H127" s="1310" t="e">
        <f t="array" aca="1" ref="H127" ca="1">+_xludf.IFS(G127="Vehículo - Uso individual","Auto",G127="Vehículo - Uso compartido","Auto",G127="Transporte público","Bus",G127="Moto","Moto",G127="Bicicleta o caminando","Bicicleta")</f>
        <v>#NAME?</v>
      </c>
      <c r="I127" s="1310">
        <v>0.25</v>
      </c>
      <c r="J127" s="1310">
        <v>4</v>
      </c>
      <c r="K127" s="1312" t="e">
        <f t="shared" ca="1" si="3"/>
        <v>#NAME?</v>
      </c>
      <c r="L127" s="1315" t="e">
        <f ca="1">+K127*I127*VLOOKUP(H127,'Factores Emisión EDGE'!$K$267:$L$272,2,FALSE)/1000</f>
        <v>#NAME?</v>
      </c>
    </row>
    <row r="128" spans="1:12">
      <c r="A128" s="1314">
        <v>44650.395122002315</v>
      </c>
      <c r="B128" s="1310" t="s">
        <v>2210</v>
      </c>
      <c r="C128" s="1310" t="s">
        <v>2211</v>
      </c>
      <c r="D128" s="1310" t="s">
        <v>1951</v>
      </c>
      <c r="E128" s="1310" t="s">
        <v>868</v>
      </c>
      <c r="F128" s="1310" t="e">
        <f t="array" aca="1" ref="F128" ca="1">+_xludf.IFS(E128="50% teletrabajo",0.5, E128="25% teletrabajo",0.75,E128="75% teletrabajo",0.25,E128="100% teletrabajo",0,E128="100% trabajo presencial",1)</f>
        <v>#NAME?</v>
      </c>
      <c r="G128" s="1310" t="s">
        <v>1952</v>
      </c>
      <c r="H128" s="1310" t="e">
        <f t="array" aca="1" ref="H128" ca="1">+_xludf.IFS(G128="Vehículo - Uso individual","Auto",G128="Vehículo - Uso compartido","Auto",G128="Transporte público","Bus",G128="Moto","Moto",G128="Bicicleta o caminando","Bicicleta")</f>
        <v>#NAME?</v>
      </c>
      <c r="I128" s="1310">
        <v>1</v>
      </c>
      <c r="J128" s="1310">
        <v>25</v>
      </c>
      <c r="K128" s="1312" t="e">
        <f t="shared" ca="1" si="3"/>
        <v>#NAME?</v>
      </c>
      <c r="L128" s="1315" t="e">
        <f ca="1">+K128*I128*VLOOKUP(H128,'Factores Emisión EDGE'!$K$267:$L$272,2,FALSE)/1000</f>
        <v>#NAME?</v>
      </c>
    </row>
    <row r="129" spans="1:12">
      <c r="A129" s="1314">
        <v>44650.395267789354</v>
      </c>
      <c r="B129" s="1310" t="s">
        <v>2212</v>
      </c>
      <c r="C129" s="1310" t="s">
        <v>2213</v>
      </c>
      <c r="D129" s="1310" t="s">
        <v>1951</v>
      </c>
      <c r="E129" s="1310" t="s">
        <v>868</v>
      </c>
      <c r="F129" s="1310" t="e">
        <f t="array" aca="1" ref="F129" ca="1">+_xludf.IFS(E129="50% teletrabajo",0.5, E129="25% teletrabajo",0.75,E129="75% teletrabajo",0.25,E129="100% teletrabajo",0,E129="100% trabajo presencial",1)</f>
        <v>#NAME?</v>
      </c>
      <c r="G129" s="1310" t="s">
        <v>1995</v>
      </c>
      <c r="H129" s="1310" t="e">
        <f t="array" aca="1" ref="H129" ca="1">+_xludf.IFS(G129="Vehículo - Uso individual","Auto",G129="Vehículo - Uso compartido","Auto",G129="Transporte público","Bus",G129="Moto","Moto",G129="Bicicleta o caminando","Bicicleta")</f>
        <v>#NAME?</v>
      </c>
      <c r="I129" s="1310">
        <v>0.25</v>
      </c>
      <c r="J129" s="1310">
        <v>5</v>
      </c>
      <c r="K129" s="1312" t="e">
        <f t="shared" ca="1" si="3"/>
        <v>#NAME?</v>
      </c>
      <c r="L129" s="1315" t="e">
        <f ca="1">+K129*I129*VLOOKUP(H129,'Factores Emisión EDGE'!$K$267:$L$272,2,FALSE)/1000</f>
        <v>#NAME?</v>
      </c>
    </row>
    <row r="130" spans="1:12">
      <c r="A130" s="1314">
        <v>44650.395574374998</v>
      </c>
      <c r="B130" s="1310" t="s">
        <v>2214</v>
      </c>
      <c r="C130" s="1310" t="s">
        <v>2215</v>
      </c>
      <c r="D130" s="1310" t="s">
        <v>1951</v>
      </c>
      <c r="E130" s="1310" t="s">
        <v>868</v>
      </c>
      <c r="F130" s="1310" t="e">
        <f t="array" aca="1" ref="F130" ca="1">+_xludf.IFS(E130="50% teletrabajo",0.5, E130="25% teletrabajo",0.75,E130="75% teletrabajo",0.25,E130="100% teletrabajo",0,E130="100% trabajo presencial",1)</f>
        <v>#NAME?</v>
      </c>
      <c r="G130" s="1310" t="s">
        <v>1952</v>
      </c>
      <c r="H130" s="1310" t="e">
        <f t="array" aca="1" ref="H130" ca="1">+_xludf.IFS(G130="Vehículo - Uso individual","Auto",G130="Vehículo - Uso compartido","Auto",G130="Transporte público","Bus",G130="Moto","Moto",G130="Bicicleta o caminando","Bicicleta")</f>
        <v>#NAME?</v>
      </c>
      <c r="I130" s="1310">
        <v>1</v>
      </c>
      <c r="J130" s="1310">
        <v>10</v>
      </c>
      <c r="K130" s="1312" t="e">
        <f t="shared" ca="1" si="3"/>
        <v>#NAME?</v>
      </c>
      <c r="L130" s="1315" t="e">
        <f ca="1">+K130*I130*VLOOKUP(H130,'Factores Emisión EDGE'!$K$267:$L$272,2,FALSE)/1000</f>
        <v>#NAME?</v>
      </c>
    </row>
    <row r="131" spans="1:12">
      <c r="A131" s="1314">
        <v>44650.396143275459</v>
      </c>
      <c r="B131" s="1310" t="s">
        <v>2216</v>
      </c>
      <c r="C131" s="1310" t="s">
        <v>2217</v>
      </c>
      <c r="D131" s="1310" t="s">
        <v>1951</v>
      </c>
      <c r="E131" s="1310" t="s">
        <v>868</v>
      </c>
      <c r="F131" s="1310" t="e">
        <f t="array" aca="1" ref="F131" ca="1">+_xludf.IFS(E131="50% teletrabajo",0.5, E131="25% teletrabajo",0.75,E131="75% teletrabajo",0.25,E131="100% teletrabajo",0,E131="100% trabajo presencial",1)</f>
        <v>#NAME?</v>
      </c>
      <c r="G131" s="1319" t="s">
        <v>1952</v>
      </c>
      <c r="H131" s="1310" t="e">
        <f t="array" aca="1" ref="H131" ca="1">+_xludf.IFS(G131="Vehículo - Uso individual","Auto",G131="Vehículo - Uso compartido","Auto",G131="Transporte público","Bus",G131="Moto","Moto",G131="Bicicleta o caminando","Bicicleta")</f>
        <v>#NAME?</v>
      </c>
      <c r="I131" s="1310">
        <v>1</v>
      </c>
      <c r="J131" s="1319">
        <v>190</v>
      </c>
      <c r="K131" s="1312" t="e">
        <f t="shared" ca="1" si="3"/>
        <v>#NAME?</v>
      </c>
      <c r="L131" s="1315" t="e">
        <f ca="1">+K131*I131*VLOOKUP(H131,'Factores Emisión EDGE'!$K$267:$L$272,2,FALSE)/1000</f>
        <v>#NAME?</v>
      </c>
    </row>
    <row r="132" spans="1:12">
      <c r="A132" s="1314">
        <v>44650.396582430556</v>
      </c>
      <c r="B132" s="1310" t="s">
        <v>2218</v>
      </c>
      <c r="C132" s="1310" t="s">
        <v>2219</v>
      </c>
      <c r="D132" s="1310" t="s">
        <v>1951</v>
      </c>
      <c r="E132" s="1310" t="s">
        <v>1960</v>
      </c>
      <c r="F132" s="1310" t="e">
        <f t="array" aca="1" ref="F132" ca="1">+_xludf.IFS(E132="50% teletrabajo",0.5, E132="25% teletrabajo",0.75,E132="75% teletrabajo",0.25,E132="100% teletrabajo",0,E132="100% trabajo presencial",1)</f>
        <v>#NAME?</v>
      </c>
      <c r="G132" s="1310" t="s">
        <v>1952</v>
      </c>
      <c r="H132" s="1310" t="e">
        <f t="array" aca="1" ref="H132" ca="1">+_xludf.IFS(G132="Vehículo - Uso individual","Auto",G132="Vehículo - Uso compartido","Auto",G132="Transporte público","Bus",G132="Moto","Moto",G132="Bicicleta o caminando","Bicicleta")</f>
        <v>#NAME?</v>
      </c>
      <c r="I132" s="1310">
        <v>1</v>
      </c>
      <c r="J132" s="1310">
        <v>3</v>
      </c>
      <c r="K132" s="1312" t="e">
        <f t="shared" ca="1" si="3"/>
        <v>#NAME?</v>
      </c>
      <c r="L132" s="1315" t="e">
        <f ca="1">+K132*I132*VLOOKUP(H132,'Factores Emisión EDGE'!$K$267:$L$272,2,FALSE)/1000</f>
        <v>#NAME?</v>
      </c>
    </row>
    <row r="133" spans="1:12">
      <c r="A133" s="1314">
        <v>44650.396663576394</v>
      </c>
      <c r="B133" s="1310" t="s">
        <v>2220</v>
      </c>
      <c r="C133" s="1310">
        <v>124680468</v>
      </c>
      <c r="D133" s="1310" t="s">
        <v>1951</v>
      </c>
      <c r="E133" s="1310" t="s">
        <v>872</v>
      </c>
      <c r="F133" s="1310" t="e">
        <f t="array" aca="1" ref="F133" ca="1">+_xludf.IFS(E133="50% teletrabajo",0.5, E133="25% teletrabajo",0.75,E133="75% teletrabajo",0.25,E133="100% teletrabajo",0,E133="100% trabajo presencial",1)</f>
        <v>#NAME?</v>
      </c>
      <c r="G133" s="1310" t="s">
        <v>1952</v>
      </c>
      <c r="H133" s="1310" t="e">
        <f t="array" aca="1" ref="H133" ca="1">+_xludf.IFS(G133="Vehículo - Uso individual","Auto",G133="Vehículo - Uso compartido","Auto",G133="Transporte público","Bus",G133="Moto","Moto",G133="Bicicleta o caminando","Bicicleta")</f>
        <v>#NAME?</v>
      </c>
      <c r="I133" s="1310">
        <v>1</v>
      </c>
      <c r="J133" s="1310">
        <v>34</v>
      </c>
      <c r="K133" s="1312" t="e">
        <f t="shared" ca="1" si="3"/>
        <v>#NAME?</v>
      </c>
      <c r="L133" s="1315" t="e">
        <f ca="1">+K133*I133*VLOOKUP(H133,'Factores Emisión EDGE'!$K$267:$L$272,2,FALSE)/1000</f>
        <v>#NAME?</v>
      </c>
    </row>
    <row r="134" spans="1:12">
      <c r="A134" s="1314">
        <v>44650.396816793982</v>
      </c>
      <c r="B134" s="1310" t="s">
        <v>2221</v>
      </c>
      <c r="C134" s="1310" t="s">
        <v>2222</v>
      </c>
      <c r="D134" s="1310" t="s">
        <v>1951</v>
      </c>
      <c r="E134" s="1310" t="s">
        <v>868</v>
      </c>
      <c r="F134" s="1310" t="e">
        <f t="array" aca="1" ref="F134" ca="1">+_xludf.IFS(E134="50% teletrabajo",0.5, E134="25% teletrabajo",0.75,E134="75% teletrabajo",0.25,E134="100% teletrabajo",0,E134="100% trabajo presencial",1)</f>
        <v>#NAME?</v>
      </c>
      <c r="G134" s="1310" t="s">
        <v>1995</v>
      </c>
      <c r="H134" s="1310" t="e">
        <f t="array" aca="1" ref="H134" ca="1">+_xludf.IFS(G134="Vehículo - Uso individual","Auto",G134="Vehículo - Uso compartido","Auto",G134="Transporte público","Bus",G134="Moto","Moto",G134="Bicicleta o caminando","Bicicleta")</f>
        <v>#NAME?</v>
      </c>
      <c r="I134" s="1310">
        <v>0.25</v>
      </c>
      <c r="J134" s="1310">
        <v>32</v>
      </c>
      <c r="K134" s="1312" t="e">
        <f t="shared" ca="1" si="3"/>
        <v>#NAME?</v>
      </c>
      <c r="L134" s="1315" t="e">
        <f ca="1">+K134*I134*VLOOKUP(H134,'Factores Emisión EDGE'!$K$267:$L$272,2,FALSE)/1000</f>
        <v>#NAME?</v>
      </c>
    </row>
    <row r="135" spans="1:12">
      <c r="A135" s="1314">
        <v>44650.396833217594</v>
      </c>
      <c r="B135" s="1310" t="s">
        <v>2223</v>
      </c>
      <c r="C135" s="1310" t="s">
        <v>2224</v>
      </c>
      <c r="D135" s="1310" t="s">
        <v>1951</v>
      </c>
      <c r="E135" s="1310" t="s">
        <v>1965</v>
      </c>
      <c r="F135" s="1310" t="e">
        <f t="array" aca="1" ref="F135" ca="1">+_xludf.IFS(E135="50% teletrabajo",0.5, E135="25% teletrabajo",0.75,E135="75% teletrabajo",0.25,E135="100% teletrabajo",0,E135="100% trabajo presencial",1)</f>
        <v>#NAME?</v>
      </c>
      <c r="G135" s="1310" t="s">
        <v>863</v>
      </c>
      <c r="H135" s="1310" t="e">
        <f t="array" aca="1" ref="H135" ca="1">+_xludf.IFS(G135="Vehículo - Uso individual","Auto",G135="Vehículo - Uso compartido","Auto",G135="Transporte público","Bus",G135="Moto","Moto",G135="Bicicleta o caminando","Bicicleta")</f>
        <v>#NAME?</v>
      </c>
      <c r="I135" s="1310">
        <v>1</v>
      </c>
      <c r="J135" s="1310">
        <v>30</v>
      </c>
      <c r="K135" s="1312" t="e">
        <f t="shared" ca="1" si="3"/>
        <v>#NAME?</v>
      </c>
      <c r="L135" s="1315" t="e">
        <f ca="1">+K135*I135*VLOOKUP(H135,'Factores Emisión EDGE'!$K$267:$L$272,2,FALSE)/1000</f>
        <v>#NAME?</v>
      </c>
    </row>
    <row r="136" spans="1:12">
      <c r="A136" s="1314">
        <v>44650.396938043981</v>
      </c>
      <c r="B136" s="1310" t="s">
        <v>2225</v>
      </c>
      <c r="C136" s="1310" t="s">
        <v>2226</v>
      </c>
      <c r="D136" s="1310" t="s">
        <v>1951</v>
      </c>
      <c r="E136" s="1310" t="s">
        <v>872</v>
      </c>
      <c r="F136" s="1310" t="e">
        <f t="array" aca="1" ref="F136" ca="1">+_xludf.IFS(E136="50% teletrabajo",0.5, E136="25% teletrabajo",0.75,E136="75% teletrabajo",0.25,E136="100% teletrabajo",0,E136="100% trabajo presencial",1)</f>
        <v>#NAME?</v>
      </c>
      <c r="G136" s="1310" t="s">
        <v>1995</v>
      </c>
      <c r="H136" s="1310" t="e">
        <f t="array" aca="1" ref="H136" ca="1">+_xludf.IFS(G136="Vehículo - Uso individual","Auto",G136="Vehículo - Uso compartido","Auto",G136="Transporte público","Bus",G136="Moto","Moto",G136="Bicicleta o caminando","Bicicleta")</f>
        <v>#NAME?</v>
      </c>
      <c r="I136" s="1310">
        <v>0.25</v>
      </c>
      <c r="J136" s="1310">
        <v>20</v>
      </c>
      <c r="K136" s="1312" t="e">
        <f t="shared" ca="1" si="3"/>
        <v>#NAME?</v>
      </c>
      <c r="L136" s="1315" t="e">
        <f ca="1">+K136*I136*VLOOKUP(H136,'Factores Emisión EDGE'!$K$267:$L$272,2,FALSE)/1000</f>
        <v>#NAME?</v>
      </c>
    </row>
    <row r="137" spans="1:12">
      <c r="A137" s="1314">
        <v>44650.397343402779</v>
      </c>
      <c r="B137" s="1310" t="s">
        <v>2227</v>
      </c>
      <c r="C137" s="1310" t="s">
        <v>2228</v>
      </c>
      <c r="D137" s="1310" t="s">
        <v>1951</v>
      </c>
      <c r="E137" s="1310" t="s">
        <v>868</v>
      </c>
      <c r="F137" s="1310" t="e">
        <f t="array" aca="1" ref="F137" ca="1">+_xludf.IFS(E137="50% teletrabajo",0.5, E137="25% teletrabajo",0.75,E137="75% teletrabajo",0.25,E137="100% teletrabajo",0,E137="100% trabajo presencial",1)</f>
        <v>#NAME?</v>
      </c>
      <c r="G137" s="1310" t="s">
        <v>1952</v>
      </c>
      <c r="H137" s="1310" t="e">
        <f t="array" aca="1" ref="H137" ca="1">+_xludf.IFS(G137="Vehículo - Uso individual","Auto",G137="Vehículo - Uso compartido","Auto",G137="Transporte público","Bus",G137="Moto","Moto",G137="Bicicleta o caminando","Bicicleta")</f>
        <v>#NAME?</v>
      </c>
      <c r="I137" s="1310">
        <v>1</v>
      </c>
      <c r="J137" s="1310">
        <v>5</v>
      </c>
      <c r="K137" s="1312" t="e">
        <f t="shared" ca="1" si="3"/>
        <v>#NAME?</v>
      </c>
      <c r="L137" s="1315" t="e">
        <f ca="1">+K137*I137*VLOOKUP(H137,'Factores Emisión EDGE'!$K$267:$L$272,2,FALSE)/1000</f>
        <v>#NAME?</v>
      </c>
    </row>
    <row r="138" spans="1:12">
      <c r="A138" s="1314">
        <v>44650.397419849542</v>
      </c>
      <c r="B138" s="1310" t="s">
        <v>2229</v>
      </c>
      <c r="C138" s="1310" t="s">
        <v>2230</v>
      </c>
      <c r="D138" s="1310" t="s">
        <v>1951</v>
      </c>
      <c r="E138" s="1310" t="s">
        <v>1965</v>
      </c>
      <c r="F138" s="1310" t="e">
        <f t="array" aca="1" ref="F138" ca="1">+_xludf.IFS(E138="50% teletrabajo",0.5, E138="25% teletrabajo",0.75,E138="75% teletrabajo",0.25,E138="100% teletrabajo",0,E138="100% trabajo presencial",1)</f>
        <v>#NAME?</v>
      </c>
      <c r="G138" s="1310" t="s">
        <v>1964</v>
      </c>
      <c r="H138" s="1310" t="e">
        <f t="array" aca="1" ref="H138" ca="1">+_xludf.IFS(G138="Vehículo - Uso individual","Auto",G138="Vehículo - Uso compartido","Auto",G138="Transporte público","Bus",G138="Moto","Moto",G138="Bicicleta o caminando","Bicicleta")</f>
        <v>#NAME?</v>
      </c>
      <c r="I138" s="1310">
        <v>1</v>
      </c>
      <c r="J138" s="1310">
        <v>15</v>
      </c>
      <c r="K138" s="1312" t="e">
        <f t="shared" ca="1" si="3"/>
        <v>#NAME?</v>
      </c>
      <c r="L138" s="1315" t="e">
        <f ca="1">+K138*I138*VLOOKUP(H138,'Factores Emisión EDGE'!$K$267:$L$272,2,FALSE)/1000</f>
        <v>#NAME?</v>
      </c>
    </row>
    <row r="139" spans="1:12">
      <c r="A139" s="1314">
        <v>44650.397455995371</v>
      </c>
      <c r="B139" s="1310" t="s">
        <v>2231</v>
      </c>
      <c r="C139" s="1310" t="s">
        <v>2232</v>
      </c>
      <c r="D139" s="1310" t="s">
        <v>1951</v>
      </c>
      <c r="E139" s="1310" t="s">
        <v>1955</v>
      </c>
      <c r="F139" s="1310" t="e">
        <f t="array" aca="1" ref="F139" ca="1">+_xludf.IFS(E139="50% teletrabajo",0.5, E139="25% teletrabajo",0.75,E139="75% teletrabajo",0.25,E139="100% teletrabajo",0,E139="100% trabajo presencial",1)</f>
        <v>#NAME?</v>
      </c>
      <c r="G139" s="1310" t="s">
        <v>1952</v>
      </c>
      <c r="H139" s="1310" t="e">
        <f t="array" aca="1" ref="H139" ca="1">+_xludf.IFS(G139="Vehículo - Uso individual","Auto",G139="Vehículo - Uso compartido","Auto",G139="Transporte público","Bus",G139="Moto","Moto",G139="Bicicleta o caminando","Bicicleta")</f>
        <v>#NAME?</v>
      </c>
      <c r="I139" s="1310">
        <v>1</v>
      </c>
      <c r="J139" s="1310">
        <v>11</v>
      </c>
      <c r="K139" s="1312" t="e">
        <f t="shared" ca="1" si="3"/>
        <v>#NAME?</v>
      </c>
      <c r="L139" s="1315" t="e">
        <f ca="1">+K139*I139*VLOOKUP(H139,'Factores Emisión EDGE'!$K$267:$L$272,2,FALSE)/1000</f>
        <v>#NAME?</v>
      </c>
    </row>
    <row r="140" spans="1:12">
      <c r="A140" s="1314">
        <v>44650.397487245369</v>
      </c>
      <c r="B140" s="1310" t="s">
        <v>2233</v>
      </c>
      <c r="C140" s="1310" t="s">
        <v>2234</v>
      </c>
      <c r="D140" s="1310" t="s">
        <v>1951</v>
      </c>
      <c r="E140" s="1310" t="s">
        <v>868</v>
      </c>
      <c r="F140" s="1310" t="e">
        <f t="array" aca="1" ref="F140" ca="1">+_xludf.IFS(E140="50% teletrabajo",0.5, E140="25% teletrabajo",0.75,E140="75% teletrabajo",0.25,E140="100% teletrabajo",0,E140="100% trabajo presencial",1)</f>
        <v>#NAME?</v>
      </c>
      <c r="G140" s="1310" t="s">
        <v>1952</v>
      </c>
      <c r="H140" s="1310" t="e">
        <f t="array" aca="1" ref="H140" ca="1">+_xludf.IFS(G140="Vehículo - Uso individual","Auto",G140="Vehículo - Uso compartido","Auto",G140="Transporte público","Bus",G140="Moto","Moto",G140="Bicicleta o caminando","Bicicleta")</f>
        <v>#NAME?</v>
      </c>
      <c r="I140" s="1310">
        <v>1</v>
      </c>
      <c r="J140" s="1310">
        <v>15</v>
      </c>
      <c r="K140" s="1312" t="e">
        <f t="shared" ca="1" si="3"/>
        <v>#NAME?</v>
      </c>
      <c r="L140" s="1315" t="e">
        <f ca="1">+K140*I140*VLOOKUP(H140,'Factores Emisión EDGE'!$K$267:$L$272,2,FALSE)/1000</f>
        <v>#NAME?</v>
      </c>
    </row>
    <row r="141" spans="1:12">
      <c r="A141" s="1314">
        <v>44650.397590590277</v>
      </c>
      <c r="B141" s="1310" t="s">
        <v>2235</v>
      </c>
      <c r="C141" s="1310" t="s">
        <v>2236</v>
      </c>
      <c r="D141" s="1310" t="s">
        <v>1951</v>
      </c>
      <c r="E141" s="1310" t="s">
        <v>868</v>
      </c>
      <c r="F141" s="1310" t="e">
        <f t="array" aca="1" ref="F141" ca="1">+_xludf.IFS(E141="50% teletrabajo",0.5, E141="25% teletrabajo",0.75,E141="75% teletrabajo",0.25,E141="100% teletrabajo",0,E141="100% trabajo presencial",1)</f>
        <v>#NAME?</v>
      </c>
      <c r="G141" s="1310" t="s">
        <v>1995</v>
      </c>
      <c r="H141" s="1310" t="e">
        <f t="array" aca="1" ref="H141" ca="1">+_xludf.IFS(G141="Vehículo - Uso individual","Auto",G141="Vehículo - Uso compartido","Auto",G141="Transporte público","Bus",G141="Moto","Moto",G141="Bicicleta o caminando","Bicicleta")</f>
        <v>#NAME?</v>
      </c>
      <c r="I141" s="1310">
        <v>0.25</v>
      </c>
      <c r="J141" s="1310">
        <v>3</v>
      </c>
      <c r="K141" s="1312" t="e">
        <f t="shared" ca="1" si="3"/>
        <v>#NAME?</v>
      </c>
      <c r="L141" s="1315" t="e">
        <f ca="1">+K141*I141*VLOOKUP(H141,'Factores Emisión EDGE'!$K$267:$L$272,2,FALSE)/1000</f>
        <v>#NAME?</v>
      </c>
    </row>
    <row r="142" spans="1:12">
      <c r="A142" s="1314">
        <v>44650.397713020837</v>
      </c>
      <c r="B142" s="1310" t="s">
        <v>2237</v>
      </c>
      <c r="C142" s="1310" t="s">
        <v>2238</v>
      </c>
      <c r="D142" s="1310" t="s">
        <v>1951</v>
      </c>
      <c r="E142" s="1310" t="s">
        <v>868</v>
      </c>
      <c r="F142" s="1310" t="e">
        <f t="array" aca="1" ref="F142" ca="1">+_xludf.IFS(E142="50% teletrabajo",0.5, E142="25% teletrabajo",0.75,E142="75% teletrabajo",0.25,E142="100% teletrabajo",0,E142="100% trabajo presencial",1)</f>
        <v>#NAME?</v>
      </c>
      <c r="G142" s="1310" t="s">
        <v>863</v>
      </c>
      <c r="H142" s="1310" t="e">
        <f t="array" aca="1" ref="H142" ca="1">+_xludf.IFS(G142="Vehículo - Uso individual","Auto",G142="Vehículo - Uso compartido","Auto",G142="Transporte público","Bus",G142="Moto","Moto",G142="Bicicleta o caminando","Bicicleta")</f>
        <v>#NAME?</v>
      </c>
      <c r="I142" s="1310">
        <v>1</v>
      </c>
      <c r="J142" s="1310">
        <v>20</v>
      </c>
      <c r="K142" s="1312" t="e">
        <f t="shared" ca="1" si="3"/>
        <v>#NAME?</v>
      </c>
      <c r="L142" s="1315" t="e">
        <f ca="1">+K142*I142*VLOOKUP(H142,'Factores Emisión EDGE'!$K$267:$L$272,2,FALSE)/1000</f>
        <v>#NAME?</v>
      </c>
    </row>
    <row r="143" spans="1:12">
      <c r="A143" s="1314">
        <v>44650.398201944445</v>
      </c>
      <c r="B143" s="1310" t="s">
        <v>2239</v>
      </c>
      <c r="C143" s="1310" t="s">
        <v>2240</v>
      </c>
      <c r="D143" s="1310" t="s">
        <v>1951</v>
      </c>
      <c r="E143" s="1310" t="s">
        <v>1960</v>
      </c>
      <c r="F143" s="1310" t="e">
        <f t="array" aca="1" ref="F143" ca="1">+_xludf.IFS(E143="50% teletrabajo",0.5, E143="25% teletrabajo",0.75,E143="75% teletrabajo",0.25,E143="100% teletrabajo",0,E143="100% trabajo presencial",1)</f>
        <v>#NAME?</v>
      </c>
      <c r="G143" s="1310" t="s">
        <v>1964</v>
      </c>
      <c r="H143" s="1310" t="e">
        <f t="array" aca="1" ref="H143" ca="1">+_xludf.IFS(G143="Vehículo - Uso individual","Auto",G143="Vehículo - Uso compartido","Auto",G143="Transporte público","Bus",G143="Moto","Moto",G143="Bicicleta o caminando","Bicicleta")</f>
        <v>#NAME?</v>
      </c>
      <c r="I143" s="1310">
        <v>1</v>
      </c>
      <c r="J143" s="1310">
        <v>14</v>
      </c>
      <c r="K143" s="1312" t="e">
        <f t="shared" ca="1" si="3"/>
        <v>#NAME?</v>
      </c>
      <c r="L143" s="1315" t="e">
        <f ca="1">+K143*I143*VLOOKUP(H143,'Factores Emisión EDGE'!$K$267:$L$272,2,FALSE)/1000</f>
        <v>#NAME?</v>
      </c>
    </row>
    <row r="144" spans="1:12">
      <c r="A144" s="1314">
        <v>44650.399105763892</v>
      </c>
      <c r="B144" s="1310" t="s">
        <v>2241</v>
      </c>
      <c r="C144" s="1310" t="s">
        <v>2242</v>
      </c>
      <c r="D144" s="1310" t="s">
        <v>1951</v>
      </c>
      <c r="E144" s="1310" t="s">
        <v>1965</v>
      </c>
      <c r="F144" s="1310" t="e">
        <f t="array" aca="1" ref="F144" ca="1">+_xludf.IFS(E144="50% teletrabajo",0.5, E144="25% teletrabajo",0.75,E144="75% teletrabajo",0.25,E144="100% teletrabajo",0,E144="100% trabajo presencial",1)</f>
        <v>#NAME?</v>
      </c>
      <c r="G144" s="1310" t="s">
        <v>1952</v>
      </c>
      <c r="H144" s="1310" t="e">
        <f t="array" aca="1" ref="H144" ca="1">+_xludf.IFS(G144="Vehículo - Uso individual","Auto",G144="Vehículo - Uso compartido","Auto",G144="Transporte público","Bus",G144="Moto","Moto",G144="Bicicleta o caminando","Bicicleta")</f>
        <v>#NAME?</v>
      </c>
      <c r="I144" s="1310">
        <v>1</v>
      </c>
      <c r="J144" s="1310">
        <v>8</v>
      </c>
      <c r="K144" s="1312" t="e">
        <f t="shared" ca="1" si="3"/>
        <v>#NAME?</v>
      </c>
      <c r="L144" s="1315" t="e">
        <f ca="1">+K144*I144*VLOOKUP(H144,'Factores Emisión EDGE'!$K$267:$L$272,2,FALSE)/1000</f>
        <v>#NAME?</v>
      </c>
    </row>
    <row r="145" spans="1:12">
      <c r="A145" s="1314">
        <v>44650.399130162041</v>
      </c>
      <c r="B145" s="1310" t="s">
        <v>2243</v>
      </c>
      <c r="C145" s="1310" t="s">
        <v>2244</v>
      </c>
      <c r="D145" s="1310" t="s">
        <v>1951</v>
      </c>
      <c r="E145" s="1310" t="s">
        <v>1960</v>
      </c>
      <c r="F145" s="1310" t="e">
        <f t="array" aca="1" ref="F145" ca="1">+_xludf.IFS(E145="50% teletrabajo",0.5, E145="25% teletrabajo",0.75,E145="75% teletrabajo",0.25,E145="100% teletrabajo",0,E145="100% trabajo presencial",1)</f>
        <v>#NAME?</v>
      </c>
      <c r="G145" s="1310" t="s">
        <v>1952</v>
      </c>
      <c r="H145" s="1310" t="e">
        <f t="array" aca="1" ref="H145" ca="1">+_xludf.IFS(G145="Vehículo - Uso individual","Auto",G145="Vehículo - Uso compartido","Auto",G145="Transporte público","Bus",G145="Moto","Moto",G145="Bicicleta o caminando","Bicicleta")</f>
        <v>#NAME?</v>
      </c>
      <c r="I145" s="1310">
        <v>1</v>
      </c>
      <c r="J145" s="1310">
        <v>0</v>
      </c>
      <c r="K145" s="1312" t="e">
        <f t="shared" ca="1" si="3"/>
        <v>#NAME?</v>
      </c>
      <c r="L145" s="1315" t="e">
        <f ca="1">+K145*I145*VLOOKUP(H145,'Factores Emisión EDGE'!$K$267:$L$272,2,FALSE)/1000</f>
        <v>#NAME?</v>
      </c>
    </row>
    <row r="146" spans="1:12">
      <c r="A146" s="1314">
        <v>44650.399499479172</v>
      </c>
      <c r="B146" s="1310" t="s">
        <v>2245</v>
      </c>
      <c r="C146" s="1310" t="s">
        <v>2246</v>
      </c>
      <c r="D146" s="1310" t="s">
        <v>1951</v>
      </c>
      <c r="E146" s="1310" t="s">
        <v>868</v>
      </c>
      <c r="F146" s="1310" t="e">
        <f t="array" aca="1" ref="F146" ca="1">+_xludf.IFS(E146="50% teletrabajo",0.5, E146="25% teletrabajo",0.75,E146="75% teletrabajo",0.25,E146="100% teletrabajo",0,E146="100% trabajo presencial",1)</f>
        <v>#NAME?</v>
      </c>
      <c r="G146" s="1310" t="s">
        <v>1952</v>
      </c>
      <c r="H146" s="1310" t="e">
        <f t="array" aca="1" ref="H146" ca="1">+_xludf.IFS(G146="Vehículo - Uso individual","Auto",G146="Vehículo - Uso compartido","Auto",G146="Transporte público","Bus",G146="Moto","Moto",G146="Bicicleta o caminando","Bicicleta")</f>
        <v>#NAME?</v>
      </c>
      <c r="I146" s="1310">
        <v>1</v>
      </c>
      <c r="J146" s="1310">
        <v>32</v>
      </c>
      <c r="K146" s="1312" t="e">
        <f t="shared" ca="1" si="3"/>
        <v>#NAME?</v>
      </c>
      <c r="L146" s="1315" t="e">
        <f ca="1">+K146*I146*VLOOKUP(H146,'Factores Emisión EDGE'!$K$267:$L$272,2,FALSE)/1000</f>
        <v>#NAME?</v>
      </c>
    </row>
    <row r="147" spans="1:12">
      <c r="A147" s="1314">
        <v>44650.39962488426</v>
      </c>
      <c r="B147" s="1310" t="s">
        <v>2247</v>
      </c>
      <c r="C147" s="1310" t="s">
        <v>2248</v>
      </c>
      <c r="D147" s="1310" t="s">
        <v>1951</v>
      </c>
      <c r="E147" s="1310" t="s">
        <v>1960</v>
      </c>
      <c r="F147" s="1310" t="e">
        <f t="array" aca="1" ref="F147" ca="1">+_xludf.IFS(E147="50% teletrabajo",0.5, E147="25% teletrabajo",0.75,E147="75% teletrabajo",0.25,E147="100% teletrabajo",0,E147="100% trabajo presencial",1)</f>
        <v>#NAME?</v>
      </c>
      <c r="G147" s="1310" t="s">
        <v>1952</v>
      </c>
      <c r="H147" s="1310" t="e">
        <f t="array" aca="1" ref="H147" ca="1">+_xludf.IFS(G147="Vehículo - Uso individual","Auto",G147="Vehículo - Uso compartido","Auto",G147="Transporte público","Bus",G147="Moto","Moto",G147="Bicicleta o caminando","Bicicleta")</f>
        <v>#NAME?</v>
      </c>
      <c r="I147" s="1310">
        <v>1</v>
      </c>
      <c r="J147" s="1310">
        <v>0</v>
      </c>
      <c r="K147" s="1312" t="e">
        <f t="shared" ca="1" si="3"/>
        <v>#NAME?</v>
      </c>
      <c r="L147" s="1315" t="e">
        <f ca="1">+K147*I147*VLOOKUP(H147,'Factores Emisión EDGE'!$K$267:$L$272,2,FALSE)/1000</f>
        <v>#NAME?</v>
      </c>
    </row>
    <row r="148" spans="1:12">
      <c r="A148" s="1314">
        <v>44650.400097233796</v>
      </c>
      <c r="B148" s="1310" t="s">
        <v>2249</v>
      </c>
      <c r="C148" s="1310" t="s">
        <v>2250</v>
      </c>
      <c r="D148" s="1310" t="s">
        <v>1951</v>
      </c>
      <c r="E148" s="1310" t="s">
        <v>1965</v>
      </c>
      <c r="F148" s="1310" t="e">
        <f t="array" aca="1" ref="F148" ca="1">+_xludf.IFS(E148="50% teletrabajo",0.5, E148="25% teletrabajo",0.75,E148="75% teletrabajo",0.25,E148="100% teletrabajo",0,E148="100% trabajo presencial",1)</f>
        <v>#NAME?</v>
      </c>
      <c r="G148" s="1310" t="s">
        <v>1952</v>
      </c>
      <c r="H148" s="1310" t="e">
        <f t="array" aca="1" ref="H148" ca="1">+_xludf.IFS(G148="Vehículo - Uso individual","Auto",G148="Vehículo - Uso compartido","Auto",G148="Transporte público","Bus",G148="Moto","Moto",G148="Bicicleta o caminando","Bicicleta")</f>
        <v>#NAME?</v>
      </c>
      <c r="I148" s="1310">
        <v>1</v>
      </c>
      <c r="J148" s="1310">
        <v>6</v>
      </c>
      <c r="K148" s="1312" t="e">
        <f t="shared" ca="1" si="3"/>
        <v>#NAME?</v>
      </c>
      <c r="L148" s="1315" t="e">
        <f ca="1">+K148*I148*VLOOKUP(H148,'Factores Emisión EDGE'!$K$267:$L$272,2,FALSE)/1000</f>
        <v>#NAME?</v>
      </c>
    </row>
    <row r="149" spans="1:12">
      <c r="A149" s="1314">
        <v>44650.400225231482</v>
      </c>
      <c r="B149" s="1310" t="s">
        <v>2251</v>
      </c>
      <c r="C149" s="1310" t="s">
        <v>2252</v>
      </c>
      <c r="D149" s="1310" t="s">
        <v>1951</v>
      </c>
      <c r="E149" s="1310" t="s">
        <v>868</v>
      </c>
      <c r="F149" s="1310" t="e">
        <f t="array" aca="1" ref="F149" ca="1">+_xludf.IFS(E149="50% teletrabajo",0.5, E149="25% teletrabajo",0.75,E149="75% teletrabajo",0.25,E149="100% teletrabajo",0,E149="100% trabajo presencial",1)</f>
        <v>#NAME?</v>
      </c>
      <c r="G149" s="1310" t="s">
        <v>1952</v>
      </c>
      <c r="H149" s="1310" t="e">
        <f t="array" aca="1" ref="H149" ca="1">+_xludf.IFS(G149="Vehículo - Uso individual","Auto",G149="Vehículo - Uso compartido","Auto",G149="Transporte público","Bus",G149="Moto","Moto",G149="Bicicleta o caminando","Bicicleta")</f>
        <v>#NAME?</v>
      </c>
      <c r="I149" s="1310">
        <v>1</v>
      </c>
      <c r="J149" s="1310">
        <v>8</v>
      </c>
      <c r="K149" s="1312" t="e">
        <f t="shared" ca="1" si="3"/>
        <v>#NAME?</v>
      </c>
      <c r="L149" s="1315" t="e">
        <f ca="1">+K149*I149*VLOOKUP(H149,'Factores Emisión EDGE'!$K$267:$L$272,2,FALSE)/1000</f>
        <v>#NAME?</v>
      </c>
    </row>
    <row r="150" spans="1:12">
      <c r="A150" s="1314">
        <v>44650.400834560191</v>
      </c>
      <c r="B150" s="1310" t="s">
        <v>2253</v>
      </c>
      <c r="C150" s="1310" t="s">
        <v>2254</v>
      </c>
      <c r="D150" s="1310" t="s">
        <v>1951</v>
      </c>
      <c r="E150" s="1310" t="s">
        <v>1960</v>
      </c>
      <c r="F150" s="1310" t="e">
        <f t="array" aca="1" ref="F150" ca="1">+_xludf.IFS(E150="50% teletrabajo",0.5, E150="25% teletrabajo",0.75,E150="75% teletrabajo",0.25,E150="100% teletrabajo",0,E150="100% trabajo presencial",1)</f>
        <v>#NAME?</v>
      </c>
      <c r="G150" s="1310" t="s">
        <v>1964</v>
      </c>
      <c r="H150" s="1310" t="e">
        <f t="array" aca="1" ref="H150" ca="1">+_xludf.IFS(G150="Vehículo - Uso individual","Auto",G150="Vehículo - Uso compartido","Auto",G150="Transporte público","Bus",G150="Moto","Moto",G150="Bicicleta o caminando","Bicicleta")</f>
        <v>#NAME?</v>
      </c>
      <c r="I150" s="1310">
        <v>1</v>
      </c>
      <c r="J150" s="1310">
        <v>25</v>
      </c>
      <c r="K150" s="1312" t="e">
        <f t="shared" ca="1" si="3"/>
        <v>#NAME?</v>
      </c>
      <c r="L150" s="1315" t="e">
        <f ca="1">+K150*I150*VLOOKUP(H150,'Factores Emisión EDGE'!$K$267:$L$272,2,FALSE)/1000</f>
        <v>#NAME?</v>
      </c>
    </row>
    <row r="151" spans="1:12">
      <c r="A151" s="1314">
        <v>44650.400969085647</v>
      </c>
      <c r="B151" s="1310" t="s">
        <v>2255</v>
      </c>
      <c r="C151" s="1310" t="s">
        <v>2256</v>
      </c>
      <c r="D151" s="1310" t="s">
        <v>1951</v>
      </c>
      <c r="E151" s="1310" t="s">
        <v>1960</v>
      </c>
      <c r="F151" s="1310" t="e">
        <f t="array" aca="1" ref="F151" ca="1">+_xludf.IFS(E151="50% teletrabajo",0.5, E151="25% teletrabajo",0.75,E151="75% teletrabajo",0.25,E151="100% teletrabajo",0,E151="100% trabajo presencial",1)</f>
        <v>#NAME?</v>
      </c>
      <c r="G151" s="1310" t="s">
        <v>1983</v>
      </c>
      <c r="H151" s="1310" t="e">
        <f t="array" aca="1" ref="H151" ca="1">+_xludf.IFS(G151="Vehículo - Uso individual","Auto",G151="Vehículo - Uso compartido","Auto",G151="Transporte público","Bus",G151="Moto","Moto",G151="Bicicleta o caminando","Bicicleta")</f>
        <v>#NAME?</v>
      </c>
      <c r="I151" s="1310">
        <v>1</v>
      </c>
      <c r="J151" s="1310">
        <v>0</v>
      </c>
      <c r="K151" s="1312" t="e">
        <f t="shared" ca="1" si="3"/>
        <v>#NAME?</v>
      </c>
      <c r="L151" s="1315" t="e">
        <f ca="1">+K151*I151*VLOOKUP(H151,'Factores Emisión EDGE'!$K$267:$L$272,2,FALSE)/1000</f>
        <v>#NAME?</v>
      </c>
    </row>
    <row r="152" spans="1:12">
      <c r="A152" s="1314">
        <v>44650.401117175927</v>
      </c>
      <c r="B152" s="1310" t="s">
        <v>2257</v>
      </c>
      <c r="C152" s="1310">
        <v>186210611</v>
      </c>
      <c r="D152" s="1310" t="s">
        <v>1951</v>
      </c>
      <c r="E152" s="1310" t="s">
        <v>1960</v>
      </c>
      <c r="F152" s="1310" t="e">
        <f t="array" aca="1" ref="F152" ca="1">+_xludf.IFS(E152="50% teletrabajo",0.5, E152="25% teletrabajo",0.75,E152="75% teletrabajo",0.25,E152="100% teletrabajo",0,E152="100% trabajo presencial",1)</f>
        <v>#NAME?</v>
      </c>
      <c r="G152" s="1310" t="s">
        <v>1983</v>
      </c>
      <c r="H152" s="1310" t="e">
        <f t="array" aca="1" ref="H152" ca="1">+_xludf.IFS(G152="Vehículo - Uso individual","Auto",G152="Vehículo - Uso compartido","Auto",G152="Transporte público","Bus",G152="Moto","Moto",G152="Bicicleta o caminando","Bicicleta")</f>
        <v>#NAME?</v>
      </c>
      <c r="I152" s="1310">
        <v>1</v>
      </c>
      <c r="J152" s="1310">
        <v>0</v>
      </c>
      <c r="K152" s="1312" t="e">
        <f t="shared" ca="1" si="3"/>
        <v>#NAME?</v>
      </c>
      <c r="L152" s="1315" t="e">
        <f ca="1">+K152*I152*VLOOKUP(H152,'Factores Emisión EDGE'!$K$267:$L$272,2,FALSE)/1000</f>
        <v>#NAME?</v>
      </c>
    </row>
    <row r="153" spans="1:12">
      <c r="A153" s="1314">
        <v>44650.401964942124</v>
      </c>
      <c r="B153" s="1310" t="s">
        <v>2258</v>
      </c>
      <c r="C153" s="1310" t="s">
        <v>2259</v>
      </c>
      <c r="D153" s="1310" t="s">
        <v>1951</v>
      </c>
      <c r="E153" s="1310" t="s">
        <v>868</v>
      </c>
      <c r="F153" s="1310" t="e">
        <f t="array" aca="1" ref="F153" ca="1">+_xludf.IFS(E153="50% teletrabajo",0.5, E153="25% teletrabajo",0.75,E153="75% teletrabajo",0.25,E153="100% teletrabajo",0,E153="100% trabajo presencial",1)</f>
        <v>#NAME?</v>
      </c>
      <c r="G153" s="1310" t="s">
        <v>1952</v>
      </c>
      <c r="H153" s="1310" t="e">
        <f t="array" aca="1" ref="H153" ca="1">+_xludf.IFS(G153="Vehículo - Uso individual","Auto",G153="Vehículo - Uso compartido","Auto",G153="Transporte público","Bus",G153="Moto","Moto",G153="Bicicleta o caminando","Bicicleta")</f>
        <v>#NAME?</v>
      </c>
      <c r="I153" s="1310">
        <v>1</v>
      </c>
      <c r="J153" s="1310">
        <v>16</v>
      </c>
      <c r="K153" s="1312" t="e">
        <f t="shared" ca="1" si="3"/>
        <v>#NAME?</v>
      </c>
      <c r="L153" s="1315" t="e">
        <f ca="1">+K153*I153*VLOOKUP(H153,'Factores Emisión EDGE'!$K$267:$L$272,2,FALSE)/1000</f>
        <v>#NAME?</v>
      </c>
    </row>
    <row r="154" spans="1:12">
      <c r="A154" s="1314">
        <v>44650.401973599539</v>
      </c>
      <c r="B154" s="1310" t="s">
        <v>2260</v>
      </c>
      <c r="C154" s="1310">
        <v>64145223</v>
      </c>
      <c r="D154" s="1310" t="s">
        <v>1951</v>
      </c>
      <c r="E154" s="1310" t="s">
        <v>868</v>
      </c>
      <c r="F154" s="1310" t="e">
        <f t="array" aca="1" ref="F154" ca="1">+_xludf.IFS(E154="50% teletrabajo",0.5, E154="25% teletrabajo",0.75,E154="75% teletrabajo",0.25,E154="100% teletrabajo",0,E154="100% trabajo presencial",1)</f>
        <v>#NAME?</v>
      </c>
      <c r="G154" s="1310" t="s">
        <v>1952</v>
      </c>
      <c r="H154" s="1310" t="e">
        <f t="array" aca="1" ref="H154" ca="1">+_xludf.IFS(G154="Vehículo - Uso individual","Auto",G154="Vehículo - Uso compartido","Auto",G154="Transporte público","Bus",G154="Moto","Moto",G154="Bicicleta o caminando","Bicicleta")</f>
        <v>#NAME?</v>
      </c>
      <c r="I154" s="1310">
        <v>1</v>
      </c>
      <c r="J154" s="1310">
        <v>10</v>
      </c>
      <c r="K154" s="1312" t="e">
        <f t="shared" ca="1" si="3"/>
        <v>#NAME?</v>
      </c>
      <c r="L154" s="1315" t="e">
        <f ca="1">+K154*I154*VLOOKUP(H154,'Factores Emisión EDGE'!$K$267:$L$272,2,FALSE)/1000</f>
        <v>#NAME?</v>
      </c>
    </row>
    <row r="155" spans="1:12">
      <c r="A155" s="1314">
        <v>44650.40221980324</v>
      </c>
      <c r="B155" s="1310" t="s">
        <v>2261</v>
      </c>
      <c r="C155" s="1310" t="s">
        <v>2262</v>
      </c>
      <c r="D155" s="1310" t="s">
        <v>1951</v>
      </c>
      <c r="E155" s="1310" t="s">
        <v>1965</v>
      </c>
      <c r="F155" s="1310" t="e">
        <f t="array" aca="1" ref="F155" ca="1">+_xludf.IFS(E155="50% teletrabajo",0.5, E155="25% teletrabajo",0.75,E155="75% teletrabajo",0.25,E155="100% teletrabajo",0,E155="100% trabajo presencial",1)</f>
        <v>#NAME?</v>
      </c>
      <c r="G155" s="1310" t="s">
        <v>1964</v>
      </c>
      <c r="H155" s="1310" t="e">
        <f t="array" aca="1" ref="H155" ca="1">+_xludf.IFS(G155="Vehículo - Uso individual","Auto",G155="Vehículo - Uso compartido","Auto",G155="Transporte público","Bus",G155="Moto","Moto",G155="Bicicleta o caminando","Bicicleta")</f>
        <v>#NAME?</v>
      </c>
      <c r="I155" s="1310">
        <v>1</v>
      </c>
      <c r="J155" s="1310">
        <v>11</v>
      </c>
      <c r="K155" s="1312" t="e">
        <f t="shared" ca="1" si="3"/>
        <v>#NAME?</v>
      </c>
      <c r="L155" s="1315" t="e">
        <f ca="1">+K155*I155*VLOOKUP(H155,'Factores Emisión EDGE'!$K$267:$L$272,2,FALSE)/1000</f>
        <v>#NAME?</v>
      </c>
    </row>
    <row r="156" spans="1:12">
      <c r="A156" s="1314">
        <v>44650.402629282413</v>
      </c>
      <c r="B156" s="1310" t="s">
        <v>2263</v>
      </c>
      <c r="C156" s="1310" t="s">
        <v>2264</v>
      </c>
      <c r="D156" s="1310" t="s">
        <v>1951</v>
      </c>
      <c r="E156" s="1310" t="s">
        <v>1960</v>
      </c>
      <c r="F156" s="1310" t="e">
        <f t="array" aca="1" ref="F156" ca="1">+_xludf.IFS(E156="50% teletrabajo",0.5, E156="25% teletrabajo",0.75,E156="75% teletrabajo",0.25,E156="100% teletrabajo",0,E156="100% trabajo presencial",1)</f>
        <v>#NAME?</v>
      </c>
      <c r="G156" s="1310" t="s">
        <v>1952</v>
      </c>
      <c r="H156" s="1310" t="e">
        <f t="array" aca="1" ref="H156" ca="1">+_xludf.IFS(G156="Vehículo - Uso individual","Auto",G156="Vehículo - Uso compartido","Auto",G156="Transporte público","Bus",G156="Moto","Moto",G156="Bicicleta o caminando","Bicicleta")</f>
        <v>#NAME?</v>
      </c>
      <c r="I156" s="1310">
        <v>1</v>
      </c>
      <c r="J156" s="1310">
        <v>3</v>
      </c>
      <c r="K156" s="1312" t="e">
        <f t="shared" ca="1" si="3"/>
        <v>#NAME?</v>
      </c>
      <c r="L156" s="1315" t="e">
        <f ca="1">+K156*I156*VLOOKUP(H156,'Factores Emisión EDGE'!$K$267:$L$272,2,FALSE)/1000</f>
        <v>#NAME?</v>
      </c>
    </row>
    <row r="157" spans="1:12">
      <c r="A157" s="1314">
        <v>44650.403354618058</v>
      </c>
      <c r="B157" s="1310" t="s">
        <v>2265</v>
      </c>
      <c r="C157" s="1310" t="s">
        <v>2266</v>
      </c>
      <c r="D157" s="1310" t="s">
        <v>1951</v>
      </c>
      <c r="E157" s="1310" t="s">
        <v>1965</v>
      </c>
      <c r="F157" s="1310" t="e">
        <f t="array" aca="1" ref="F157" ca="1">+_xludf.IFS(E157="50% teletrabajo",0.5, E157="25% teletrabajo",0.75,E157="75% teletrabajo",0.25,E157="100% teletrabajo",0,E157="100% trabajo presencial",1)</f>
        <v>#NAME?</v>
      </c>
      <c r="G157" s="1310" t="s">
        <v>1952</v>
      </c>
      <c r="H157" s="1310" t="e">
        <f t="array" aca="1" ref="H157" ca="1">+_xludf.IFS(G157="Vehículo - Uso individual","Auto",G157="Vehículo - Uso compartido","Auto",G157="Transporte público","Bus",G157="Moto","Moto",G157="Bicicleta o caminando","Bicicleta")</f>
        <v>#NAME?</v>
      </c>
      <c r="I157" s="1310">
        <v>1</v>
      </c>
      <c r="J157" s="1310">
        <v>15.8</v>
      </c>
      <c r="K157" s="1312" t="e">
        <f t="shared" ca="1" si="3"/>
        <v>#NAME?</v>
      </c>
      <c r="L157" s="1315" t="e">
        <f ca="1">+K157*I157*VLOOKUP(H157,'Factores Emisión EDGE'!$K$267:$L$272,2,FALSE)/1000</f>
        <v>#NAME?</v>
      </c>
    </row>
    <row r="158" spans="1:12">
      <c r="A158" s="1314">
        <v>44650.40363883102</v>
      </c>
      <c r="B158" s="1310" t="s">
        <v>2267</v>
      </c>
      <c r="C158" s="1310" t="s">
        <v>2268</v>
      </c>
      <c r="D158" s="1310" t="s">
        <v>1951</v>
      </c>
      <c r="E158" s="1310" t="s">
        <v>1965</v>
      </c>
      <c r="F158" s="1310" t="e">
        <f t="array" aca="1" ref="F158" ca="1">+_xludf.IFS(E158="50% teletrabajo",0.5, E158="25% teletrabajo",0.75,E158="75% teletrabajo",0.25,E158="100% teletrabajo",0,E158="100% trabajo presencial",1)</f>
        <v>#NAME?</v>
      </c>
      <c r="G158" s="1310" t="s">
        <v>1964</v>
      </c>
      <c r="H158" s="1310" t="e">
        <f t="array" aca="1" ref="H158" ca="1">+_xludf.IFS(G158="Vehículo - Uso individual","Auto",G158="Vehículo - Uso compartido","Auto",G158="Transporte público","Bus",G158="Moto","Moto",G158="Bicicleta o caminando","Bicicleta")</f>
        <v>#NAME?</v>
      </c>
      <c r="I158" s="1310">
        <v>1</v>
      </c>
      <c r="J158" s="1310">
        <v>11</v>
      </c>
      <c r="K158" s="1312" t="e">
        <f t="shared" ca="1" si="3"/>
        <v>#NAME?</v>
      </c>
      <c r="L158" s="1315" t="e">
        <f ca="1">+K158*I158*VLOOKUP(H158,'Factores Emisión EDGE'!$K$267:$L$272,2,FALSE)/1000</f>
        <v>#NAME?</v>
      </c>
    </row>
    <row r="159" spans="1:12">
      <c r="A159" s="1314">
        <v>44650.403779652777</v>
      </c>
      <c r="B159" s="1310" t="s">
        <v>2269</v>
      </c>
      <c r="C159" s="1310" t="s">
        <v>2270</v>
      </c>
      <c r="D159" s="1310" t="s">
        <v>1951</v>
      </c>
      <c r="E159" s="1310" t="s">
        <v>868</v>
      </c>
      <c r="F159" s="1310" t="e">
        <f t="array" aca="1" ref="F159" ca="1">+_xludf.IFS(E159="50% teletrabajo",0.5, E159="25% teletrabajo",0.75,E159="75% teletrabajo",0.25,E159="100% teletrabajo",0,E159="100% trabajo presencial",1)</f>
        <v>#NAME?</v>
      </c>
      <c r="G159" s="1310" t="s">
        <v>1983</v>
      </c>
      <c r="H159" s="1310" t="e">
        <f t="array" aca="1" ref="H159" ca="1">+_xludf.IFS(G159="Vehículo - Uso individual","Auto",G159="Vehículo - Uso compartido","Auto",G159="Transporte público","Bus",G159="Moto","Moto",G159="Bicicleta o caminando","Bicicleta")</f>
        <v>#NAME?</v>
      </c>
      <c r="I159" s="1310">
        <v>1</v>
      </c>
      <c r="J159" s="1310">
        <v>4</v>
      </c>
      <c r="K159" s="1312" t="e">
        <f t="shared" ca="1" si="3"/>
        <v>#NAME?</v>
      </c>
      <c r="L159" s="1315" t="e">
        <f ca="1">+K159*I159*VLOOKUP(H159,'Factores Emisión EDGE'!$K$267:$L$272,2,FALSE)/1000</f>
        <v>#NAME?</v>
      </c>
    </row>
    <row r="160" spans="1:12">
      <c r="A160" s="1314">
        <v>44650.403801030094</v>
      </c>
      <c r="B160" s="1310" t="s">
        <v>2271</v>
      </c>
      <c r="C160" s="1310" t="s">
        <v>2272</v>
      </c>
      <c r="D160" s="1310" t="s">
        <v>1951</v>
      </c>
      <c r="E160" s="1310" t="s">
        <v>868</v>
      </c>
      <c r="F160" s="1310" t="e">
        <f t="array" aca="1" ref="F160" ca="1">+_xludf.IFS(E160="50% teletrabajo",0.5, E160="25% teletrabajo",0.75,E160="75% teletrabajo",0.25,E160="100% teletrabajo",0,E160="100% trabajo presencial",1)</f>
        <v>#NAME?</v>
      </c>
      <c r="G160" s="1310" t="s">
        <v>1995</v>
      </c>
      <c r="H160" s="1310" t="e">
        <f t="array" aca="1" ref="H160" ca="1">+_xludf.IFS(G160="Vehículo - Uso individual","Auto",G160="Vehículo - Uso compartido","Auto",G160="Transporte público","Bus",G160="Moto","Moto",G160="Bicicleta o caminando","Bicicleta")</f>
        <v>#NAME?</v>
      </c>
      <c r="I160" s="1310">
        <v>0.25</v>
      </c>
      <c r="J160" s="1310">
        <v>15</v>
      </c>
      <c r="K160" s="1312" t="e">
        <f t="shared" ca="1" si="3"/>
        <v>#NAME?</v>
      </c>
      <c r="L160" s="1315" t="e">
        <f ca="1">+K160*I160*VLOOKUP(H160,'Factores Emisión EDGE'!$K$267:$L$272,2,FALSE)/1000</f>
        <v>#NAME?</v>
      </c>
    </row>
    <row r="161" spans="1:12">
      <c r="A161" s="1314">
        <v>44650.404258287039</v>
      </c>
      <c r="B161" s="1310" t="s">
        <v>2273</v>
      </c>
      <c r="C161" s="1310" t="s">
        <v>2274</v>
      </c>
      <c r="D161" s="1310" t="s">
        <v>1951</v>
      </c>
      <c r="E161" s="1310" t="s">
        <v>868</v>
      </c>
      <c r="F161" s="1310" t="e">
        <f t="array" aca="1" ref="F161" ca="1">+_xludf.IFS(E161="50% teletrabajo",0.5, E161="25% teletrabajo",0.75,E161="75% teletrabajo",0.25,E161="100% teletrabajo",0,E161="100% trabajo presencial",1)</f>
        <v>#NAME?</v>
      </c>
      <c r="G161" s="1319" t="s">
        <v>1952</v>
      </c>
      <c r="H161" s="1310" t="e">
        <f t="array" aca="1" ref="H161" ca="1">+_xludf.IFS(G161="Vehículo - Uso individual","Auto",G161="Vehículo - Uso compartido","Auto",G161="Transporte público","Bus",G161="Moto","Moto",G161="Bicicleta o caminando","Bicicleta")</f>
        <v>#NAME?</v>
      </c>
      <c r="I161" s="1310">
        <v>1</v>
      </c>
      <c r="J161" s="1319">
        <v>12000</v>
      </c>
      <c r="K161" s="1312" t="e">
        <f ca="1">+J161*F161</f>
        <v>#NAME?</v>
      </c>
      <c r="L161" s="1315" t="e">
        <f ca="1">+K161*I161*VLOOKUP(H161,'Factores Emisión EDGE'!$K$267:$L$272,2,FALSE)/1000</f>
        <v>#NAME?</v>
      </c>
    </row>
    <row r="162" spans="1:12">
      <c r="A162" s="1314">
        <v>44650.404392812503</v>
      </c>
      <c r="B162" s="1310" t="s">
        <v>2275</v>
      </c>
      <c r="C162" s="1310" t="s">
        <v>2276</v>
      </c>
      <c r="D162" s="1310" t="s">
        <v>1951</v>
      </c>
      <c r="E162" s="1310" t="s">
        <v>868</v>
      </c>
      <c r="F162" s="1310" t="e">
        <f t="array" aca="1" ref="F162" ca="1">+_xludf.IFS(E162="50% teletrabajo",0.5, E162="25% teletrabajo",0.75,E162="75% teletrabajo",0.25,E162="100% teletrabajo",0,E162="100% trabajo presencial",1)</f>
        <v>#NAME?</v>
      </c>
      <c r="G162" s="1310" t="s">
        <v>1952</v>
      </c>
      <c r="H162" s="1310" t="e">
        <f t="array" aca="1" ref="H162" ca="1">+_xludf.IFS(G162="Vehículo - Uso individual","Auto",G162="Vehículo - Uso compartido","Auto",G162="Transporte público","Bus",G162="Moto","Moto",G162="Bicicleta o caminando","Bicicleta")</f>
        <v>#NAME?</v>
      </c>
      <c r="I162" s="1310">
        <v>1</v>
      </c>
      <c r="J162" s="1310">
        <v>18</v>
      </c>
      <c r="K162" s="1312" t="e">
        <f t="shared" ref="K162:K167" ca="1" si="4">+J162*5*50*2*F162</f>
        <v>#NAME?</v>
      </c>
      <c r="L162" s="1315" t="e">
        <f ca="1">+K162*I162*VLOOKUP(H162,'Factores Emisión EDGE'!$K$267:$L$272,2,FALSE)/1000</f>
        <v>#NAME?</v>
      </c>
    </row>
    <row r="163" spans="1:12">
      <c r="A163" s="1314">
        <v>44650.404806666666</v>
      </c>
      <c r="B163" s="1310" t="s">
        <v>2277</v>
      </c>
      <c r="C163" s="1310" t="s">
        <v>2278</v>
      </c>
      <c r="D163" s="1310" t="s">
        <v>1951</v>
      </c>
      <c r="E163" s="1310" t="s">
        <v>868</v>
      </c>
      <c r="F163" s="1310" t="e">
        <f t="array" aca="1" ref="F163" ca="1">+_xludf.IFS(E163="50% teletrabajo",0.5, E163="25% teletrabajo",0.75,E163="75% teletrabajo",0.25,E163="100% teletrabajo",0,E163="100% trabajo presencial",1)</f>
        <v>#NAME?</v>
      </c>
      <c r="G163" s="1310" t="s">
        <v>1964</v>
      </c>
      <c r="H163" s="1310" t="e">
        <f t="array" aca="1" ref="H163" ca="1">+_xludf.IFS(G163="Vehículo - Uso individual","Auto",G163="Vehículo - Uso compartido","Auto",G163="Transporte público","Bus",G163="Moto","Moto",G163="Bicicleta o caminando","Bicicleta")</f>
        <v>#NAME?</v>
      </c>
      <c r="I163" s="1310">
        <v>1</v>
      </c>
      <c r="J163" s="1310">
        <v>4.2</v>
      </c>
      <c r="K163" s="1312" t="e">
        <f t="shared" ca="1" si="4"/>
        <v>#NAME?</v>
      </c>
      <c r="L163" s="1315" t="e">
        <f ca="1">+K163*I163*VLOOKUP(H163,'Factores Emisión EDGE'!$K$267:$L$272,2,FALSE)/1000</f>
        <v>#NAME?</v>
      </c>
    </row>
    <row r="164" spans="1:12">
      <c r="A164" s="1314">
        <v>44650.405077511576</v>
      </c>
      <c r="B164" s="1310" t="s">
        <v>2279</v>
      </c>
      <c r="C164" s="1310" t="s">
        <v>2280</v>
      </c>
      <c r="D164" s="1310" t="s">
        <v>1951</v>
      </c>
      <c r="E164" s="1310" t="s">
        <v>868</v>
      </c>
      <c r="F164" s="1310" t="e">
        <f t="array" aca="1" ref="F164" ca="1">+_xludf.IFS(E164="50% teletrabajo",0.5, E164="25% teletrabajo",0.75,E164="75% teletrabajo",0.25,E164="100% teletrabajo",0,E164="100% trabajo presencial",1)</f>
        <v>#NAME?</v>
      </c>
      <c r="G164" s="1310" t="s">
        <v>1964</v>
      </c>
      <c r="H164" s="1310" t="e">
        <f t="array" aca="1" ref="H164" ca="1">+_xludf.IFS(G164="Vehículo - Uso individual","Auto",G164="Vehículo - Uso compartido","Auto",G164="Transporte público","Bus",G164="Moto","Moto",G164="Bicicleta o caminando","Bicicleta")</f>
        <v>#NAME?</v>
      </c>
      <c r="I164" s="1310">
        <v>1</v>
      </c>
      <c r="J164" s="1310">
        <v>7</v>
      </c>
      <c r="K164" s="1312" t="e">
        <f t="shared" ca="1" si="4"/>
        <v>#NAME?</v>
      </c>
      <c r="L164" s="1315" t="e">
        <f ca="1">+K164*I164*VLOOKUP(H164,'Factores Emisión EDGE'!$K$267:$L$272,2,FALSE)/1000</f>
        <v>#NAME?</v>
      </c>
    </row>
    <row r="165" spans="1:12">
      <c r="A165" s="1314">
        <v>44650.405390520835</v>
      </c>
      <c r="B165" s="1310" t="s">
        <v>2281</v>
      </c>
      <c r="C165" s="1310" t="s">
        <v>2282</v>
      </c>
      <c r="D165" s="1310" t="s">
        <v>1951</v>
      </c>
      <c r="E165" s="1310" t="s">
        <v>868</v>
      </c>
      <c r="F165" s="1310" t="e">
        <f t="array" aca="1" ref="F165" ca="1">+_xludf.IFS(E165="50% teletrabajo",0.5, E165="25% teletrabajo",0.75,E165="75% teletrabajo",0.25,E165="100% teletrabajo",0,E165="100% trabajo presencial",1)</f>
        <v>#NAME?</v>
      </c>
      <c r="G165" s="1310" t="s">
        <v>1964</v>
      </c>
      <c r="H165" s="1310" t="e">
        <f t="array" aca="1" ref="H165" ca="1">+_xludf.IFS(G165="Vehículo - Uso individual","Auto",G165="Vehículo - Uso compartido","Auto",G165="Transporte público","Bus",G165="Moto","Moto",G165="Bicicleta o caminando","Bicicleta")</f>
        <v>#NAME?</v>
      </c>
      <c r="I165" s="1310">
        <v>1</v>
      </c>
      <c r="J165" s="1310"/>
      <c r="K165" s="1312" t="e">
        <f t="shared" ca="1" si="4"/>
        <v>#NAME?</v>
      </c>
      <c r="L165" s="1315" t="e">
        <f ca="1">+K165*I165*VLOOKUP(H165,'Factores Emisión EDGE'!$K$267:$L$272,2,FALSE)/1000</f>
        <v>#NAME?</v>
      </c>
    </row>
    <row r="166" spans="1:12">
      <c r="A166" s="1314">
        <v>44650.406268159721</v>
      </c>
      <c r="B166" s="1310" t="s">
        <v>2283</v>
      </c>
      <c r="C166" s="1310">
        <v>159703630</v>
      </c>
      <c r="D166" s="1310" t="s">
        <v>1951</v>
      </c>
      <c r="E166" s="1310" t="s">
        <v>868</v>
      </c>
      <c r="F166" s="1310" t="e">
        <f t="array" aca="1" ref="F166" ca="1">+_xludf.IFS(E166="50% teletrabajo",0.5, E166="25% teletrabajo",0.75,E166="75% teletrabajo",0.25,E166="100% teletrabajo",0,E166="100% trabajo presencial",1)</f>
        <v>#NAME?</v>
      </c>
      <c r="G166" s="1310" t="s">
        <v>1952</v>
      </c>
      <c r="H166" s="1310" t="e">
        <f t="array" aca="1" ref="H166" ca="1">+_xludf.IFS(G166="Vehículo - Uso individual","Auto",G166="Vehículo - Uso compartido","Auto",G166="Transporte público","Bus",G166="Moto","Moto",G166="Bicicleta o caminando","Bicicleta")</f>
        <v>#NAME?</v>
      </c>
      <c r="I166" s="1310">
        <v>1</v>
      </c>
      <c r="J166" s="1310">
        <v>1</v>
      </c>
      <c r="K166" s="1312" t="e">
        <f t="shared" ca="1" si="4"/>
        <v>#NAME?</v>
      </c>
      <c r="L166" s="1315" t="e">
        <f ca="1">+K166*I166*VLOOKUP(H166,'Factores Emisión EDGE'!$K$267:$L$272,2,FALSE)/1000</f>
        <v>#NAME?</v>
      </c>
    </row>
    <row r="167" spans="1:12">
      <c r="A167" s="1314">
        <v>44650.406553900466</v>
      </c>
      <c r="B167" s="1310" t="s">
        <v>2284</v>
      </c>
      <c r="C167" s="1310" t="s">
        <v>2285</v>
      </c>
      <c r="D167" s="1310" t="s">
        <v>1951</v>
      </c>
      <c r="E167" s="1310" t="s">
        <v>1965</v>
      </c>
      <c r="F167" s="1310" t="e">
        <f t="array" aca="1" ref="F167" ca="1">+_xludf.IFS(E167="50% teletrabajo",0.5, E167="25% teletrabajo",0.75,E167="75% teletrabajo",0.25,E167="100% teletrabajo",0,E167="100% trabajo presencial",1)</f>
        <v>#NAME?</v>
      </c>
      <c r="G167" s="1310" t="s">
        <v>1995</v>
      </c>
      <c r="H167" s="1310" t="e">
        <f t="array" aca="1" ref="H167" ca="1">+_xludf.IFS(G167="Vehículo - Uso individual","Auto",G167="Vehículo - Uso compartido","Auto",G167="Transporte público","Bus",G167="Moto","Moto",G167="Bicicleta o caminando","Bicicleta")</f>
        <v>#NAME?</v>
      </c>
      <c r="I167" s="1310">
        <v>0.25</v>
      </c>
      <c r="J167" s="1310">
        <v>22</v>
      </c>
      <c r="K167" s="1312" t="e">
        <f t="shared" ca="1" si="4"/>
        <v>#NAME?</v>
      </c>
      <c r="L167" s="1315" t="e">
        <f ca="1">+K167*I167*VLOOKUP(H167,'Factores Emisión EDGE'!$K$267:$L$272,2,FALSE)/1000</f>
        <v>#NAME?</v>
      </c>
    </row>
    <row r="168" spans="1:12">
      <c r="A168" s="1314">
        <v>44650.406682013891</v>
      </c>
      <c r="B168" s="1310" t="s">
        <v>2286</v>
      </c>
      <c r="C168" s="1310" t="s">
        <v>2287</v>
      </c>
      <c r="D168" s="1310" t="s">
        <v>1951</v>
      </c>
      <c r="E168" s="1310" t="s">
        <v>1955</v>
      </c>
      <c r="F168" s="1310" t="e">
        <f t="array" aca="1" ref="F168" ca="1">+_xludf.IFS(E168="50% teletrabajo",0.5, E168="25% teletrabajo",0.75,E168="75% teletrabajo",0.25,E168="100% teletrabajo",0,E168="100% trabajo presencial",1)</f>
        <v>#NAME?</v>
      </c>
      <c r="G168" s="1310" t="s">
        <v>1952</v>
      </c>
      <c r="H168" s="1310" t="e">
        <f t="array" aca="1" ref="H168" ca="1">+_xludf.IFS(G168="Vehículo - Uso individual","Auto",G168="Vehículo - Uso compartido","Auto",G168="Transporte público","Bus",G168="Moto","Moto",G168="Bicicleta o caminando","Bicicleta")</f>
        <v>#NAME?</v>
      </c>
      <c r="I168" s="1310">
        <v>1</v>
      </c>
      <c r="J168" s="1319">
        <v>1152</v>
      </c>
      <c r="K168" s="1312" t="e">
        <f ca="1">+J168*F168</f>
        <v>#NAME?</v>
      </c>
      <c r="L168" s="1315" t="e">
        <f ca="1">+K168*I168*VLOOKUP(H168,'Factores Emisión EDGE'!$K$267:$L$272,2,FALSE)/1000</f>
        <v>#NAME?</v>
      </c>
    </row>
    <row r="169" spans="1:12">
      <c r="A169" s="1314">
        <v>44650.406747013883</v>
      </c>
      <c r="B169" s="1310" t="s">
        <v>2288</v>
      </c>
      <c r="C169" s="1310" t="s">
        <v>2289</v>
      </c>
      <c r="D169" s="1310" t="s">
        <v>1951</v>
      </c>
      <c r="E169" s="1310" t="s">
        <v>1960</v>
      </c>
      <c r="F169" s="1310" t="e">
        <f t="array" aca="1" ref="F169" ca="1">+_xludf.IFS(E169="50% teletrabajo",0.5, E169="25% teletrabajo",0.75,E169="75% teletrabajo",0.25,E169="100% teletrabajo",0,E169="100% trabajo presencial",1)</f>
        <v>#NAME?</v>
      </c>
      <c r="G169" s="1310" t="s">
        <v>1952</v>
      </c>
      <c r="H169" s="1310" t="e">
        <f t="array" aca="1" ref="H169" ca="1">+_xludf.IFS(G169="Vehículo - Uso individual","Auto",G169="Vehículo - Uso compartido","Auto",G169="Transporte público","Bus",G169="Moto","Moto",G169="Bicicleta o caminando","Bicicleta")</f>
        <v>#NAME?</v>
      </c>
      <c r="I169" s="1310">
        <v>1</v>
      </c>
      <c r="J169" s="1310">
        <v>18</v>
      </c>
      <c r="K169" s="1312" t="e">
        <f t="shared" ref="K169:K200" ca="1" si="5">+J169*5*50*2*F169</f>
        <v>#NAME?</v>
      </c>
      <c r="L169" s="1315" t="e">
        <f ca="1">+K169*I169*VLOOKUP(H169,'Factores Emisión EDGE'!$K$267:$L$272,2,FALSE)/1000</f>
        <v>#NAME?</v>
      </c>
    </row>
    <row r="170" spans="1:12">
      <c r="A170" s="1314">
        <v>44650.407159884257</v>
      </c>
      <c r="B170" s="1310" t="s">
        <v>2290</v>
      </c>
      <c r="C170" s="1310" t="s">
        <v>2291</v>
      </c>
      <c r="D170" s="1310" t="s">
        <v>1951</v>
      </c>
      <c r="E170" s="1310" t="s">
        <v>1960</v>
      </c>
      <c r="F170" s="1310" t="e">
        <f t="array" aca="1" ref="F170" ca="1">+_xludf.IFS(E170="50% teletrabajo",0.5, E170="25% teletrabajo",0.75,E170="75% teletrabajo",0.25,E170="100% teletrabajo",0,E170="100% trabajo presencial",1)</f>
        <v>#NAME?</v>
      </c>
      <c r="G170" s="1310" t="s">
        <v>1964</v>
      </c>
      <c r="H170" s="1310" t="e">
        <f t="array" aca="1" ref="H170" ca="1">+_xludf.IFS(G170="Vehículo - Uso individual","Auto",G170="Vehículo - Uso compartido","Auto",G170="Transporte público","Bus",G170="Moto","Moto",G170="Bicicleta o caminando","Bicicleta")</f>
        <v>#NAME?</v>
      </c>
      <c r="I170" s="1310">
        <v>1</v>
      </c>
      <c r="J170" s="1310">
        <v>50.1</v>
      </c>
      <c r="K170" s="1312" t="e">
        <f t="shared" ca="1" si="5"/>
        <v>#NAME?</v>
      </c>
      <c r="L170" s="1315" t="e">
        <f ca="1">+K170*I170*VLOOKUP(H170,'Factores Emisión EDGE'!$K$267:$L$272,2,FALSE)/1000</f>
        <v>#NAME?</v>
      </c>
    </row>
    <row r="171" spans="1:12">
      <c r="A171" s="1314">
        <v>44650.40742142361</v>
      </c>
      <c r="B171" s="1310" t="s">
        <v>2292</v>
      </c>
      <c r="C171" s="1310" t="s">
        <v>2293</v>
      </c>
      <c r="D171" s="1310" t="s">
        <v>1951</v>
      </c>
      <c r="E171" s="1310" t="s">
        <v>868</v>
      </c>
      <c r="F171" s="1310" t="e">
        <f t="array" aca="1" ref="F171" ca="1">+_xludf.IFS(E171="50% teletrabajo",0.5, E171="25% teletrabajo",0.75,E171="75% teletrabajo",0.25,E171="100% teletrabajo",0,E171="100% trabajo presencial",1)</f>
        <v>#NAME?</v>
      </c>
      <c r="G171" s="1310" t="s">
        <v>863</v>
      </c>
      <c r="H171" s="1310" t="e">
        <f t="array" aca="1" ref="H171" ca="1">+_xludf.IFS(G171="Vehículo - Uso individual","Auto",G171="Vehículo - Uso compartido","Auto",G171="Transporte público","Bus",G171="Moto","Moto",G171="Bicicleta o caminando","Bicicleta")</f>
        <v>#NAME?</v>
      </c>
      <c r="I171" s="1310">
        <v>1</v>
      </c>
      <c r="J171" s="1310"/>
      <c r="K171" s="1312" t="e">
        <f t="shared" ca="1" si="5"/>
        <v>#NAME?</v>
      </c>
      <c r="L171" s="1315" t="e">
        <f ca="1">+K171*I171*VLOOKUP(H171,'Factores Emisión EDGE'!$K$267:$L$272,2,FALSE)/1000</f>
        <v>#NAME?</v>
      </c>
    </row>
    <row r="172" spans="1:12">
      <c r="A172" s="1314">
        <v>44650.407442465279</v>
      </c>
      <c r="B172" s="1310" t="s">
        <v>2294</v>
      </c>
      <c r="C172" s="1310" t="s">
        <v>2295</v>
      </c>
      <c r="D172" s="1310" t="s">
        <v>1951</v>
      </c>
      <c r="E172" s="1310" t="s">
        <v>868</v>
      </c>
      <c r="F172" s="1310" t="e">
        <f t="array" aca="1" ref="F172" ca="1">+_xludf.IFS(E172="50% teletrabajo",0.5, E172="25% teletrabajo",0.75,E172="75% teletrabajo",0.25,E172="100% teletrabajo",0,E172="100% trabajo presencial",1)</f>
        <v>#NAME?</v>
      </c>
      <c r="G172" s="1310" t="s">
        <v>1964</v>
      </c>
      <c r="H172" s="1310" t="e">
        <f t="array" aca="1" ref="H172" ca="1">+_xludf.IFS(G172="Vehículo - Uso individual","Auto",G172="Vehículo - Uso compartido","Auto",G172="Transporte público","Bus",G172="Moto","Moto",G172="Bicicleta o caminando","Bicicleta")</f>
        <v>#NAME?</v>
      </c>
      <c r="I172" s="1310">
        <v>1</v>
      </c>
      <c r="J172" s="1310">
        <v>20</v>
      </c>
      <c r="K172" s="1312" t="e">
        <f t="shared" ca="1" si="5"/>
        <v>#NAME?</v>
      </c>
      <c r="L172" s="1315" t="e">
        <f ca="1">+K172*I172*VLOOKUP(H172,'Factores Emisión EDGE'!$K$267:$L$272,2,FALSE)/1000</f>
        <v>#NAME?</v>
      </c>
    </row>
    <row r="173" spans="1:12">
      <c r="A173" s="1314">
        <v>44650.407624965279</v>
      </c>
      <c r="B173" s="1310" t="s">
        <v>2296</v>
      </c>
      <c r="C173" s="1310" t="s">
        <v>2297</v>
      </c>
      <c r="D173" s="1310" t="s">
        <v>1951</v>
      </c>
      <c r="E173" s="1310" t="s">
        <v>868</v>
      </c>
      <c r="F173" s="1310" t="e">
        <f t="array" aca="1" ref="F173" ca="1">+_xludf.IFS(E173="50% teletrabajo",0.5, E173="25% teletrabajo",0.75,E173="75% teletrabajo",0.25,E173="100% teletrabajo",0,E173="100% trabajo presencial",1)</f>
        <v>#NAME?</v>
      </c>
      <c r="G173" s="1310" t="s">
        <v>1952</v>
      </c>
      <c r="H173" s="1310" t="e">
        <f t="array" aca="1" ref="H173" ca="1">+_xludf.IFS(G173="Vehículo - Uso individual","Auto",G173="Vehículo - Uso compartido","Auto",G173="Transporte público","Bus",G173="Moto","Moto",G173="Bicicleta o caminando","Bicicleta")</f>
        <v>#NAME?</v>
      </c>
      <c r="I173" s="1310">
        <v>1</v>
      </c>
      <c r="J173" s="1310">
        <v>20</v>
      </c>
      <c r="K173" s="1312" t="e">
        <f t="shared" ca="1" si="5"/>
        <v>#NAME?</v>
      </c>
      <c r="L173" s="1315" t="e">
        <f ca="1">+K173*I173*VLOOKUP(H173,'Factores Emisión EDGE'!$K$267:$L$272,2,FALSE)/1000</f>
        <v>#NAME?</v>
      </c>
    </row>
    <row r="174" spans="1:12">
      <c r="A174" s="1314">
        <v>44650.407902245366</v>
      </c>
      <c r="B174" s="1310" t="s">
        <v>2298</v>
      </c>
      <c r="C174" s="1310" t="s">
        <v>2299</v>
      </c>
      <c r="D174" s="1310" t="s">
        <v>1951</v>
      </c>
      <c r="E174" s="1310" t="s">
        <v>868</v>
      </c>
      <c r="F174" s="1310" t="e">
        <f t="array" aca="1" ref="F174" ca="1">+_xludf.IFS(E174="50% teletrabajo",0.5, E174="25% teletrabajo",0.75,E174="75% teletrabajo",0.25,E174="100% teletrabajo",0,E174="100% trabajo presencial",1)</f>
        <v>#NAME?</v>
      </c>
      <c r="G174" s="1310" t="s">
        <v>1964</v>
      </c>
      <c r="H174" s="1310" t="e">
        <f t="array" aca="1" ref="H174" ca="1">+_xludf.IFS(G174="Vehículo - Uso individual","Auto",G174="Vehículo - Uso compartido","Auto",G174="Transporte público","Bus",G174="Moto","Moto",G174="Bicicleta o caminando","Bicicleta")</f>
        <v>#NAME?</v>
      </c>
      <c r="I174" s="1310">
        <v>1</v>
      </c>
      <c r="J174" s="1310">
        <v>5</v>
      </c>
      <c r="K174" s="1312" t="e">
        <f t="shared" ca="1" si="5"/>
        <v>#NAME?</v>
      </c>
      <c r="L174" s="1315" t="e">
        <f ca="1">+K174*I174*VLOOKUP(H174,'Factores Emisión EDGE'!$K$267:$L$272,2,FALSE)/1000</f>
        <v>#NAME?</v>
      </c>
    </row>
    <row r="175" spans="1:12">
      <c r="A175" s="1314">
        <v>44650.40794449074</v>
      </c>
      <c r="B175" s="1310" t="s">
        <v>2300</v>
      </c>
      <c r="C175" s="1310" t="s">
        <v>2301</v>
      </c>
      <c r="D175" s="1310" t="s">
        <v>1951</v>
      </c>
      <c r="E175" s="1310" t="s">
        <v>868</v>
      </c>
      <c r="F175" s="1310" t="e">
        <f t="array" aca="1" ref="F175" ca="1">+_xludf.IFS(E175="50% teletrabajo",0.5, E175="25% teletrabajo",0.75,E175="75% teletrabajo",0.25,E175="100% teletrabajo",0,E175="100% trabajo presencial",1)</f>
        <v>#NAME?</v>
      </c>
      <c r="G175" s="1310" t="s">
        <v>1964</v>
      </c>
      <c r="H175" s="1310" t="e">
        <f t="array" aca="1" ref="H175" ca="1">+_xludf.IFS(G175="Vehículo - Uso individual","Auto",G175="Vehículo - Uso compartido","Auto",G175="Transporte público","Bus",G175="Moto","Moto",G175="Bicicleta o caminando","Bicicleta")</f>
        <v>#NAME?</v>
      </c>
      <c r="I175" s="1310">
        <v>1</v>
      </c>
      <c r="J175" s="1310">
        <v>43</v>
      </c>
      <c r="K175" s="1312" t="e">
        <f t="shared" ca="1" si="5"/>
        <v>#NAME?</v>
      </c>
      <c r="L175" s="1315" t="e">
        <f ca="1">+K175*I175*VLOOKUP(H175,'Factores Emisión EDGE'!$K$267:$L$272,2,FALSE)/1000</f>
        <v>#NAME?</v>
      </c>
    </row>
    <row r="176" spans="1:12">
      <c r="A176" s="1314">
        <v>44650.407963229169</v>
      </c>
      <c r="B176" s="1310" t="s">
        <v>2302</v>
      </c>
      <c r="C176" s="1310" t="s">
        <v>2303</v>
      </c>
      <c r="D176" s="1310" t="s">
        <v>1951</v>
      </c>
      <c r="E176" s="1310" t="s">
        <v>1960</v>
      </c>
      <c r="F176" s="1310" t="e">
        <f t="array" aca="1" ref="F176" ca="1">+_xludf.IFS(E176="50% teletrabajo",0.5, E176="25% teletrabajo",0.75,E176="75% teletrabajo",0.25,E176="100% teletrabajo",0,E176="100% trabajo presencial",1)</f>
        <v>#NAME?</v>
      </c>
      <c r="G176" s="1310" t="s">
        <v>1952</v>
      </c>
      <c r="H176" s="1310" t="e">
        <f t="array" aca="1" ref="H176" ca="1">+_xludf.IFS(G176="Vehículo - Uso individual","Auto",G176="Vehículo - Uso compartido","Auto",G176="Transporte público","Bus",G176="Moto","Moto",G176="Bicicleta o caminando","Bicicleta")</f>
        <v>#NAME?</v>
      </c>
      <c r="I176" s="1310">
        <v>1</v>
      </c>
      <c r="J176" s="1310">
        <v>25</v>
      </c>
      <c r="K176" s="1312" t="e">
        <f t="shared" ca="1" si="5"/>
        <v>#NAME?</v>
      </c>
      <c r="L176" s="1315" t="e">
        <f ca="1">+K176*I176*VLOOKUP(H176,'Factores Emisión EDGE'!$K$267:$L$272,2,FALSE)/1000</f>
        <v>#NAME?</v>
      </c>
    </row>
    <row r="177" spans="1:12">
      <c r="A177" s="1314">
        <v>44650.408122696761</v>
      </c>
      <c r="B177" s="1310" t="s">
        <v>2304</v>
      </c>
      <c r="C177" s="1310" t="s">
        <v>2305</v>
      </c>
      <c r="D177" s="1310" t="s">
        <v>1951</v>
      </c>
      <c r="E177" s="1310" t="s">
        <v>868</v>
      </c>
      <c r="F177" s="1310" t="e">
        <f t="array" aca="1" ref="F177" ca="1">+_xludf.IFS(E177="50% teletrabajo",0.5, E177="25% teletrabajo",0.75,E177="75% teletrabajo",0.25,E177="100% teletrabajo",0,E177="100% trabajo presencial",1)</f>
        <v>#NAME?</v>
      </c>
      <c r="G177" s="1310" t="s">
        <v>1964</v>
      </c>
      <c r="H177" s="1310" t="e">
        <f t="array" aca="1" ref="H177" ca="1">+_xludf.IFS(G177="Vehículo - Uso individual","Auto",G177="Vehículo - Uso compartido","Auto",G177="Transporte público","Bus",G177="Moto","Moto",G177="Bicicleta o caminando","Bicicleta")</f>
        <v>#NAME?</v>
      </c>
      <c r="I177" s="1310">
        <v>1</v>
      </c>
      <c r="J177" s="1310"/>
      <c r="K177" s="1312" t="e">
        <f t="shared" ca="1" si="5"/>
        <v>#NAME?</v>
      </c>
      <c r="L177" s="1315" t="e">
        <f ca="1">+K177*I177*VLOOKUP(H177,'Factores Emisión EDGE'!$K$267:$L$272,2,FALSE)/1000</f>
        <v>#NAME?</v>
      </c>
    </row>
    <row r="178" spans="1:12">
      <c r="A178" s="1314">
        <v>44650.408178182872</v>
      </c>
      <c r="B178" s="1310" t="s">
        <v>2306</v>
      </c>
      <c r="C178" s="1310" t="s">
        <v>2307</v>
      </c>
      <c r="D178" s="1310" t="s">
        <v>1951</v>
      </c>
      <c r="E178" s="1310" t="s">
        <v>868</v>
      </c>
      <c r="F178" s="1310" t="e">
        <f t="array" aca="1" ref="F178" ca="1">+_xludf.IFS(E178="50% teletrabajo",0.5, E178="25% teletrabajo",0.75,E178="75% teletrabajo",0.25,E178="100% teletrabajo",0,E178="100% trabajo presencial",1)</f>
        <v>#NAME?</v>
      </c>
      <c r="G178" s="1310" t="s">
        <v>1952</v>
      </c>
      <c r="H178" s="1310" t="e">
        <f t="array" aca="1" ref="H178" ca="1">+_xludf.IFS(G178="Vehículo - Uso individual","Auto",G178="Vehículo - Uso compartido","Auto",G178="Transporte público","Bus",G178="Moto","Moto",G178="Bicicleta o caminando","Bicicleta")</f>
        <v>#NAME?</v>
      </c>
      <c r="I178" s="1310">
        <v>1</v>
      </c>
      <c r="J178" s="1310">
        <v>15</v>
      </c>
      <c r="K178" s="1312" t="e">
        <f t="shared" ca="1" si="5"/>
        <v>#NAME?</v>
      </c>
      <c r="L178" s="1315" t="e">
        <f ca="1">+K178*I178*VLOOKUP(H178,'Factores Emisión EDGE'!$K$267:$L$272,2,FALSE)/1000</f>
        <v>#NAME?</v>
      </c>
    </row>
    <row r="179" spans="1:12">
      <c r="A179" s="1314">
        <v>44650.4082021875</v>
      </c>
      <c r="B179" s="1310" t="s">
        <v>2308</v>
      </c>
      <c r="C179" s="1310" t="s">
        <v>2309</v>
      </c>
      <c r="D179" s="1310" t="s">
        <v>1951</v>
      </c>
      <c r="E179" s="1310" t="s">
        <v>1955</v>
      </c>
      <c r="F179" s="1310" t="e">
        <f t="array" aca="1" ref="F179" ca="1">+_xludf.IFS(E179="50% teletrabajo",0.5, E179="25% teletrabajo",0.75,E179="75% teletrabajo",0.25,E179="100% teletrabajo",0,E179="100% trabajo presencial",1)</f>
        <v>#NAME?</v>
      </c>
      <c r="G179" s="1310" t="s">
        <v>1952</v>
      </c>
      <c r="H179" s="1310" t="e">
        <f t="array" aca="1" ref="H179" ca="1">+_xludf.IFS(G179="Vehículo - Uso individual","Auto",G179="Vehículo - Uso compartido","Auto",G179="Transporte público","Bus",G179="Moto","Moto",G179="Bicicleta o caminando","Bicicleta")</f>
        <v>#NAME?</v>
      </c>
      <c r="I179" s="1310">
        <v>1</v>
      </c>
      <c r="J179" s="1310">
        <v>25</v>
      </c>
      <c r="K179" s="1312" t="e">
        <f t="shared" ca="1" si="5"/>
        <v>#NAME?</v>
      </c>
      <c r="L179" s="1315" t="e">
        <f ca="1">+K179*I179*VLOOKUP(H179,'Factores Emisión EDGE'!$K$267:$L$272,2,FALSE)/1000</f>
        <v>#NAME?</v>
      </c>
    </row>
    <row r="180" spans="1:12">
      <c r="A180" s="1314">
        <v>44650.408513645831</v>
      </c>
      <c r="B180" s="1310" t="s">
        <v>2310</v>
      </c>
      <c r="C180" s="1310" t="s">
        <v>2311</v>
      </c>
      <c r="D180" s="1310" t="s">
        <v>1951</v>
      </c>
      <c r="E180" s="1310" t="s">
        <v>1960</v>
      </c>
      <c r="F180" s="1310" t="e">
        <f t="array" aca="1" ref="F180" ca="1">+_xludf.IFS(E180="50% teletrabajo",0.5, E180="25% teletrabajo",0.75,E180="75% teletrabajo",0.25,E180="100% teletrabajo",0,E180="100% trabajo presencial",1)</f>
        <v>#NAME?</v>
      </c>
      <c r="G180" s="1310" t="s">
        <v>1952</v>
      </c>
      <c r="H180" s="1310" t="e">
        <f t="array" aca="1" ref="H180" ca="1">+_xludf.IFS(G180="Vehículo - Uso individual","Auto",G180="Vehículo - Uso compartido","Auto",G180="Transporte público","Bus",G180="Moto","Moto",G180="Bicicleta o caminando","Bicicleta")</f>
        <v>#NAME?</v>
      </c>
      <c r="I180" s="1310">
        <v>1</v>
      </c>
      <c r="J180" s="1310">
        <v>18</v>
      </c>
      <c r="K180" s="1312" t="e">
        <f t="shared" ca="1" si="5"/>
        <v>#NAME?</v>
      </c>
      <c r="L180" s="1315" t="e">
        <f ca="1">+K180*I180*VLOOKUP(H180,'Factores Emisión EDGE'!$K$267:$L$272,2,FALSE)/1000</f>
        <v>#NAME?</v>
      </c>
    </row>
    <row r="181" spans="1:12">
      <c r="A181" s="1314">
        <v>44650.408530381945</v>
      </c>
      <c r="B181" s="1310" t="s">
        <v>2312</v>
      </c>
      <c r="C181" s="1310" t="s">
        <v>2313</v>
      </c>
      <c r="D181" s="1310" t="s">
        <v>1951</v>
      </c>
      <c r="E181" s="1310" t="s">
        <v>868</v>
      </c>
      <c r="F181" s="1310" t="e">
        <f t="array" aca="1" ref="F181" ca="1">+_xludf.IFS(E181="50% teletrabajo",0.5, E181="25% teletrabajo",0.75,E181="75% teletrabajo",0.25,E181="100% teletrabajo",0,E181="100% trabajo presencial",1)</f>
        <v>#NAME?</v>
      </c>
      <c r="G181" s="1310" t="s">
        <v>1964</v>
      </c>
      <c r="H181" s="1310" t="e">
        <f t="array" aca="1" ref="H181" ca="1">+_xludf.IFS(G181="Vehículo - Uso individual","Auto",G181="Vehículo - Uso compartido","Auto",G181="Transporte público","Bus",G181="Moto","Moto",G181="Bicicleta o caminando","Bicicleta")</f>
        <v>#NAME?</v>
      </c>
      <c r="I181" s="1310">
        <v>1</v>
      </c>
      <c r="J181" s="1310">
        <v>10</v>
      </c>
      <c r="K181" s="1312" t="e">
        <f t="shared" ca="1" si="5"/>
        <v>#NAME?</v>
      </c>
      <c r="L181" s="1315" t="e">
        <f ca="1">+K181*I181*VLOOKUP(H181,'Factores Emisión EDGE'!$K$267:$L$272,2,FALSE)/1000</f>
        <v>#NAME?</v>
      </c>
    </row>
    <row r="182" spans="1:12">
      <c r="A182" s="1314">
        <v>44650.408603680553</v>
      </c>
      <c r="B182" s="1310" t="s">
        <v>2314</v>
      </c>
      <c r="C182" s="1310" t="s">
        <v>2315</v>
      </c>
      <c r="D182" s="1310" t="s">
        <v>1951</v>
      </c>
      <c r="E182" s="1310" t="s">
        <v>868</v>
      </c>
      <c r="F182" s="1310" t="e">
        <f t="array" aca="1" ref="F182" ca="1">+_xludf.IFS(E182="50% teletrabajo",0.5, E182="25% teletrabajo",0.75,E182="75% teletrabajo",0.25,E182="100% teletrabajo",0,E182="100% trabajo presencial",1)</f>
        <v>#NAME?</v>
      </c>
      <c r="G182" s="1310" t="s">
        <v>1952</v>
      </c>
      <c r="H182" s="1310" t="e">
        <f t="array" aca="1" ref="H182" ca="1">+_xludf.IFS(G182="Vehículo - Uso individual","Auto",G182="Vehículo - Uso compartido","Auto",G182="Transporte público","Bus",G182="Moto","Moto",G182="Bicicleta o caminando","Bicicleta")</f>
        <v>#NAME?</v>
      </c>
      <c r="I182" s="1310">
        <v>1</v>
      </c>
      <c r="J182" s="1310">
        <v>10</v>
      </c>
      <c r="K182" s="1312" t="e">
        <f t="shared" ca="1" si="5"/>
        <v>#NAME?</v>
      </c>
      <c r="L182" s="1315" t="e">
        <f ca="1">+K182*I182*VLOOKUP(H182,'Factores Emisión EDGE'!$K$267:$L$272,2,FALSE)/1000</f>
        <v>#NAME?</v>
      </c>
    </row>
    <row r="183" spans="1:12">
      <c r="A183" s="1314">
        <v>44650.409175520836</v>
      </c>
      <c r="B183" s="1310" t="s">
        <v>2316</v>
      </c>
      <c r="C183" s="1310" t="s">
        <v>2317</v>
      </c>
      <c r="D183" s="1310" t="s">
        <v>1951</v>
      </c>
      <c r="E183" s="1310" t="s">
        <v>868</v>
      </c>
      <c r="F183" s="1310" t="e">
        <f t="array" aca="1" ref="F183" ca="1">+_xludf.IFS(E183="50% teletrabajo",0.5, E183="25% teletrabajo",0.75,E183="75% teletrabajo",0.25,E183="100% teletrabajo",0,E183="100% trabajo presencial",1)</f>
        <v>#NAME?</v>
      </c>
      <c r="G183" s="1310" t="s">
        <v>1952</v>
      </c>
      <c r="H183" s="1310" t="e">
        <f t="array" aca="1" ref="H183" ca="1">+_xludf.IFS(G183="Vehículo - Uso individual","Auto",G183="Vehículo - Uso compartido","Auto",G183="Transporte público","Bus",G183="Moto","Moto",G183="Bicicleta o caminando","Bicicleta")</f>
        <v>#NAME?</v>
      </c>
      <c r="I183" s="1310">
        <v>1</v>
      </c>
      <c r="J183" s="1310">
        <v>1</v>
      </c>
      <c r="K183" s="1312" t="e">
        <f t="shared" ca="1" si="5"/>
        <v>#NAME?</v>
      </c>
      <c r="L183" s="1315" t="e">
        <f ca="1">+K183*I183*VLOOKUP(H183,'Factores Emisión EDGE'!$K$267:$L$272,2,FALSE)/1000</f>
        <v>#NAME?</v>
      </c>
    </row>
    <row r="184" spans="1:12">
      <c r="A184" s="1314">
        <v>44650.409286863425</v>
      </c>
      <c r="B184" s="1310" t="s">
        <v>2318</v>
      </c>
      <c r="C184" s="1310" t="s">
        <v>2319</v>
      </c>
      <c r="D184" s="1310" t="s">
        <v>1951</v>
      </c>
      <c r="E184" s="1310" t="s">
        <v>868</v>
      </c>
      <c r="F184" s="1310" t="e">
        <f t="array" aca="1" ref="F184" ca="1">+_xludf.IFS(E184="50% teletrabajo",0.5, E184="25% teletrabajo",0.75,E184="75% teletrabajo",0.25,E184="100% teletrabajo",0,E184="100% trabajo presencial",1)</f>
        <v>#NAME?</v>
      </c>
      <c r="G184" s="1310" t="s">
        <v>1952</v>
      </c>
      <c r="H184" s="1310" t="e">
        <f t="array" aca="1" ref="H184" ca="1">+_xludf.IFS(G184="Vehículo - Uso individual","Auto",G184="Vehículo - Uso compartido","Auto",G184="Transporte público","Bus",G184="Moto","Moto",G184="Bicicleta o caminando","Bicicleta")</f>
        <v>#NAME?</v>
      </c>
      <c r="I184" s="1310">
        <v>1</v>
      </c>
      <c r="J184" s="1310">
        <v>15</v>
      </c>
      <c r="K184" s="1312" t="e">
        <f t="shared" ca="1" si="5"/>
        <v>#NAME?</v>
      </c>
      <c r="L184" s="1315" t="e">
        <f ca="1">+K184*I184*VLOOKUP(H184,'Factores Emisión EDGE'!$K$267:$L$272,2,FALSE)/1000</f>
        <v>#NAME?</v>
      </c>
    </row>
    <row r="185" spans="1:12">
      <c r="A185" s="1314">
        <v>44650.409719282412</v>
      </c>
      <c r="B185" s="1310" t="s">
        <v>2320</v>
      </c>
      <c r="C185" s="1310" t="s">
        <v>2321</v>
      </c>
      <c r="D185" s="1310" t="s">
        <v>1951</v>
      </c>
      <c r="E185" s="1310" t="s">
        <v>1960</v>
      </c>
      <c r="F185" s="1310" t="e">
        <f t="array" aca="1" ref="F185" ca="1">+_xludf.IFS(E185="50% teletrabajo",0.5, E185="25% teletrabajo",0.75,E185="75% teletrabajo",0.25,E185="100% teletrabajo",0,E185="100% trabajo presencial",1)</f>
        <v>#NAME?</v>
      </c>
      <c r="G185" s="1310" t="s">
        <v>1964</v>
      </c>
      <c r="H185" s="1310" t="e">
        <f t="array" aca="1" ref="H185" ca="1">+_xludf.IFS(G185="Vehículo - Uso individual","Auto",G185="Vehículo - Uso compartido","Auto",G185="Transporte público","Bus",G185="Moto","Moto",G185="Bicicleta o caminando","Bicicleta")</f>
        <v>#NAME?</v>
      </c>
      <c r="I185" s="1310">
        <v>1</v>
      </c>
      <c r="J185" s="1310">
        <v>6</v>
      </c>
      <c r="K185" s="1312" t="e">
        <f t="shared" ca="1" si="5"/>
        <v>#NAME?</v>
      </c>
      <c r="L185" s="1315" t="e">
        <f ca="1">+K185*I185*VLOOKUP(H185,'Factores Emisión EDGE'!$K$267:$L$272,2,FALSE)/1000</f>
        <v>#NAME?</v>
      </c>
    </row>
    <row r="186" spans="1:12">
      <c r="A186" s="1314">
        <v>44650.410125717593</v>
      </c>
      <c r="B186" s="1310" t="s">
        <v>2322</v>
      </c>
      <c r="C186" s="1310" t="s">
        <v>2323</v>
      </c>
      <c r="D186" s="1310" t="s">
        <v>1951</v>
      </c>
      <c r="E186" s="1310" t="s">
        <v>868</v>
      </c>
      <c r="F186" s="1310" t="e">
        <f t="array" aca="1" ref="F186" ca="1">+_xludf.IFS(E186="50% teletrabajo",0.5, E186="25% teletrabajo",0.75,E186="75% teletrabajo",0.25,E186="100% teletrabajo",0,E186="100% trabajo presencial",1)</f>
        <v>#NAME?</v>
      </c>
      <c r="G186" s="1310" t="s">
        <v>1964</v>
      </c>
      <c r="H186" s="1310" t="e">
        <f t="array" aca="1" ref="H186" ca="1">+_xludf.IFS(G186="Vehículo - Uso individual","Auto",G186="Vehículo - Uso compartido","Auto",G186="Transporte público","Bus",G186="Moto","Moto",G186="Bicicleta o caminando","Bicicleta")</f>
        <v>#NAME?</v>
      </c>
      <c r="I186" s="1310">
        <v>1</v>
      </c>
      <c r="J186" s="1310">
        <v>10</v>
      </c>
      <c r="K186" s="1312" t="e">
        <f t="shared" ca="1" si="5"/>
        <v>#NAME?</v>
      </c>
      <c r="L186" s="1315" t="e">
        <f ca="1">+K186*I186*VLOOKUP(H186,'Factores Emisión EDGE'!$K$267:$L$272,2,FALSE)/1000</f>
        <v>#NAME?</v>
      </c>
    </row>
    <row r="187" spans="1:12">
      <c r="A187" s="1314">
        <v>44650.410399548608</v>
      </c>
      <c r="B187" s="1310" t="s">
        <v>2324</v>
      </c>
      <c r="C187" s="1310" t="s">
        <v>2325</v>
      </c>
      <c r="D187" s="1310" t="s">
        <v>1951</v>
      </c>
      <c r="E187" s="1310" t="s">
        <v>868</v>
      </c>
      <c r="F187" s="1310" t="e">
        <f t="array" aca="1" ref="F187" ca="1">+_xludf.IFS(E187="50% teletrabajo",0.5, E187="25% teletrabajo",0.75,E187="75% teletrabajo",0.25,E187="100% teletrabajo",0,E187="100% trabajo presencial",1)</f>
        <v>#NAME?</v>
      </c>
      <c r="G187" s="1310" t="s">
        <v>1964</v>
      </c>
      <c r="H187" s="1310" t="e">
        <f t="array" aca="1" ref="H187" ca="1">+_xludf.IFS(G187="Vehículo - Uso individual","Auto",G187="Vehículo - Uso compartido","Auto",G187="Transporte público","Bus",G187="Moto","Moto",G187="Bicicleta o caminando","Bicicleta")</f>
        <v>#NAME?</v>
      </c>
      <c r="I187" s="1310">
        <v>1</v>
      </c>
      <c r="J187" s="1310">
        <v>1</v>
      </c>
      <c r="K187" s="1312" t="e">
        <f t="shared" ca="1" si="5"/>
        <v>#NAME?</v>
      </c>
      <c r="L187" s="1315" t="e">
        <f ca="1">+K187*I187*VLOOKUP(H187,'Factores Emisión EDGE'!$K$267:$L$272,2,FALSE)/1000</f>
        <v>#NAME?</v>
      </c>
    </row>
    <row r="188" spans="1:12">
      <c r="A188" s="1314">
        <v>44650.410488807873</v>
      </c>
      <c r="B188" s="1310" t="s">
        <v>2326</v>
      </c>
      <c r="C188" s="1310" t="s">
        <v>2327</v>
      </c>
      <c r="D188" s="1310" t="s">
        <v>1951</v>
      </c>
      <c r="E188" s="1310" t="s">
        <v>868</v>
      </c>
      <c r="F188" s="1310" t="e">
        <f t="array" aca="1" ref="F188" ca="1">+_xludf.IFS(E188="50% teletrabajo",0.5, E188="25% teletrabajo",0.75,E188="75% teletrabajo",0.25,E188="100% teletrabajo",0,E188="100% trabajo presencial",1)</f>
        <v>#NAME?</v>
      </c>
      <c r="G188" s="1310" t="s">
        <v>1964</v>
      </c>
      <c r="H188" s="1310" t="e">
        <f t="array" aca="1" ref="H188" ca="1">+_xludf.IFS(G188="Vehículo - Uso individual","Auto",G188="Vehículo - Uso compartido","Auto",G188="Transporte público","Bus",G188="Moto","Moto",G188="Bicicleta o caminando","Bicicleta")</f>
        <v>#NAME?</v>
      </c>
      <c r="I188" s="1310">
        <v>1</v>
      </c>
      <c r="J188" s="1310">
        <v>1</v>
      </c>
      <c r="K188" s="1312" t="e">
        <f t="shared" ca="1" si="5"/>
        <v>#NAME?</v>
      </c>
      <c r="L188" s="1315" t="e">
        <f ca="1">+K188*I188*VLOOKUP(H188,'Factores Emisión EDGE'!$K$267:$L$272,2,FALSE)/1000</f>
        <v>#NAME?</v>
      </c>
    </row>
    <row r="189" spans="1:12">
      <c r="A189" s="1314">
        <v>44650.411233402774</v>
      </c>
      <c r="B189" s="1310" t="s">
        <v>2328</v>
      </c>
      <c r="C189" s="1310" t="s">
        <v>2329</v>
      </c>
      <c r="D189" s="1310" t="s">
        <v>1951</v>
      </c>
      <c r="E189" s="1310" t="s">
        <v>868</v>
      </c>
      <c r="F189" s="1310" t="e">
        <f t="array" aca="1" ref="F189" ca="1">+_xludf.IFS(E189="50% teletrabajo",0.5, E189="25% teletrabajo",0.75,E189="75% teletrabajo",0.25,E189="100% teletrabajo",0,E189="100% trabajo presencial",1)</f>
        <v>#NAME?</v>
      </c>
      <c r="G189" s="1310" t="s">
        <v>1952</v>
      </c>
      <c r="H189" s="1310" t="e">
        <f t="array" aca="1" ref="H189" ca="1">+_xludf.IFS(G189="Vehículo - Uso individual","Auto",G189="Vehículo - Uso compartido","Auto",G189="Transporte público","Bus",G189="Moto","Moto",G189="Bicicleta o caminando","Bicicleta")</f>
        <v>#NAME?</v>
      </c>
      <c r="I189" s="1310">
        <v>1</v>
      </c>
      <c r="J189" s="1310">
        <v>30</v>
      </c>
      <c r="K189" s="1312" t="e">
        <f t="shared" ca="1" si="5"/>
        <v>#NAME?</v>
      </c>
      <c r="L189" s="1315" t="e">
        <f ca="1">+K189*I189*VLOOKUP(H189,'Factores Emisión EDGE'!$K$267:$L$272,2,FALSE)/1000</f>
        <v>#NAME?</v>
      </c>
    </row>
    <row r="190" spans="1:12">
      <c r="A190" s="1314">
        <v>44650.411371898153</v>
      </c>
      <c r="B190" s="1310" t="s">
        <v>2330</v>
      </c>
      <c r="C190" s="1310" t="s">
        <v>2331</v>
      </c>
      <c r="D190" s="1310" t="s">
        <v>1951</v>
      </c>
      <c r="E190" s="1310" t="s">
        <v>868</v>
      </c>
      <c r="F190" s="1310" t="e">
        <f t="array" aca="1" ref="F190" ca="1">+_xludf.IFS(E190="50% teletrabajo",0.5, E190="25% teletrabajo",0.75,E190="75% teletrabajo",0.25,E190="100% teletrabajo",0,E190="100% trabajo presencial",1)</f>
        <v>#NAME?</v>
      </c>
      <c r="G190" s="1310" t="s">
        <v>1995</v>
      </c>
      <c r="H190" s="1310" t="e">
        <f t="array" aca="1" ref="H190" ca="1">+_xludf.IFS(G190="Vehículo - Uso individual","Auto",G190="Vehículo - Uso compartido","Auto",G190="Transporte público","Bus",G190="Moto","Moto",G190="Bicicleta o caminando","Bicicleta")</f>
        <v>#NAME?</v>
      </c>
      <c r="I190" s="1310">
        <v>0.25</v>
      </c>
      <c r="J190" s="1310"/>
      <c r="K190" s="1312" t="e">
        <f t="shared" ca="1" si="5"/>
        <v>#NAME?</v>
      </c>
      <c r="L190" s="1315" t="e">
        <f ca="1">+K190*I190*VLOOKUP(H190,'Factores Emisión EDGE'!$K$267:$L$272,2,FALSE)/1000</f>
        <v>#NAME?</v>
      </c>
    </row>
    <row r="191" spans="1:12">
      <c r="A191" s="1314">
        <v>44650.411867870367</v>
      </c>
      <c r="B191" s="1310" t="s">
        <v>2332</v>
      </c>
      <c r="C191" s="1310" t="s">
        <v>2333</v>
      </c>
      <c r="D191" s="1310" t="s">
        <v>1951</v>
      </c>
      <c r="E191" s="1310" t="s">
        <v>868</v>
      </c>
      <c r="F191" s="1310" t="e">
        <f t="array" aca="1" ref="F191" ca="1">+_xludf.IFS(E191="50% teletrabajo",0.5, E191="25% teletrabajo",0.75,E191="75% teletrabajo",0.25,E191="100% teletrabajo",0,E191="100% trabajo presencial",1)</f>
        <v>#NAME?</v>
      </c>
      <c r="G191" s="1310" t="s">
        <v>1964</v>
      </c>
      <c r="H191" s="1310" t="e">
        <f t="array" aca="1" ref="H191" ca="1">+_xludf.IFS(G191="Vehículo - Uso individual","Auto",G191="Vehículo - Uso compartido","Auto",G191="Transporte público","Bus",G191="Moto","Moto",G191="Bicicleta o caminando","Bicicleta")</f>
        <v>#NAME?</v>
      </c>
      <c r="I191" s="1310">
        <v>1</v>
      </c>
      <c r="J191" s="1310">
        <v>15</v>
      </c>
      <c r="K191" s="1312" t="e">
        <f t="shared" ca="1" si="5"/>
        <v>#NAME?</v>
      </c>
      <c r="L191" s="1315" t="e">
        <f ca="1">+K191*I191*VLOOKUP(H191,'Factores Emisión EDGE'!$K$267:$L$272,2,FALSE)/1000</f>
        <v>#NAME?</v>
      </c>
    </row>
    <row r="192" spans="1:12">
      <c r="A192" s="1314">
        <v>44650.41200246528</v>
      </c>
      <c r="B192" s="1310" t="s">
        <v>2334</v>
      </c>
      <c r="C192" s="1310" t="s">
        <v>2335</v>
      </c>
      <c r="D192" s="1310" t="s">
        <v>1951</v>
      </c>
      <c r="E192" s="1310" t="s">
        <v>868</v>
      </c>
      <c r="F192" s="1310" t="e">
        <f t="array" aca="1" ref="F192" ca="1">+_xludf.IFS(E192="50% teletrabajo",0.5, E192="25% teletrabajo",0.75,E192="75% teletrabajo",0.25,E192="100% teletrabajo",0,E192="100% trabajo presencial",1)</f>
        <v>#NAME?</v>
      </c>
      <c r="G192" s="1310" t="s">
        <v>1964</v>
      </c>
      <c r="H192" s="1310" t="e">
        <f t="array" aca="1" ref="H192" ca="1">+_xludf.IFS(G192="Vehículo - Uso individual","Auto",G192="Vehículo - Uso compartido","Auto",G192="Transporte público","Bus",G192="Moto","Moto",G192="Bicicleta o caminando","Bicicleta")</f>
        <v>#NAME?</v>
      </c>
      <c r="I192" s="1310">
        <v>1</v>
      </c>
      <c r="J192" s="1310">
        <v>7.3</v>
      </c>
      <c r="K192" s="1312" t="e">
        <f t="shared" ca="1" si="5"/>
        <v>#NAME?</v>
      </c>
      <c r="L192" s="1315" t="e">
        <f ca="1">+K192*I192*VLOOKUP(H192,'Factores Emisión EDGE'!$K$267:$L$272,2,FALSE)/1000</f>
        <v>#NAME?</v>
      </c>
    </row>
    <row r="193" spans="1:12">
      <c r="A193" s="1314">
        <v>44650.41214951389</v>
      </c>
      <c r="B193" s="1310" t="s">
        <v>2336</v>
      </c>
      <c r="C193" s="1310" t="s">
        <v>2337</v>
      </c>
      <c r="D193" s="1310" t="s">
        <v>1951</v>
      </c>
      <c r="E193" s="1310" t="s">
        <v>868</v>
      </c>
      <c r="F193" s="1310" t="e">
        <f t="array" aca="1" ref="F193" ca="1">+_xludf.IFS(E193="50% teletrabajo",0.5, E193="25% teletrabajo",0.75,E193="75% teletrabajo",0.25,E193="100% teletrabajo",0,E193="100% trabajo presencial",1)</f>
        <v>#NAME?</v>
      </c>
      <c r="G193" s="1310" t="s">
        <v>1964</v>
      </c>
      <c r="H193" s="1310" t="e">
        <f t="array" aca="1" ref="H193" ca="1">+_xludf.IFS(G193="Vehículo - Uso individual","Auto",G193="Vehículo - Uso compartido","Auto",G193="Transporte público","Bus",G193="Moto","Moto",G193="Bicicleta o caminando","Bicicleta")</f>
        <v>#NAME?</v>
      </c>
      <c r="I193" s="1310">
        <v>1</v>
      </c>
      <c r="J193" s="1310">
        <v>8</v>
      </c>
      <c r="K193" s="1312" t="e">
        <f t="shared" ca="1" si="5"/>
        <v>#NAME?</v>
      </c>
      <c r="L193" s="1315" t="e">
        <f ca="1">+K193*I193*VLOOKUP(H193,'Factores Emisión EDGE'!$K$267:$L$272,2,FALSE)/1000</f>
        <v>#NAME?</v>
      </c>
    </row>
    <row r="194" spans="1:12">
      <c r="A194" s="1314">
        <v>44650.412229675931</v>
      </c>
      <c r="B194" s="1310" t="s">
        <v>2338</v>
      </c>
      <c r="C194" s="1310" t="s">
        <v>2339</v>
      </c>
      <c r="D194" s="1310" t="s">
        <v>1951</v>
      </c>
      <c r="E194" s="1310" t="s">
        <v>1960</v>
      </c>
      <c r="F194" s="1310" t="e">
        <f t="array" aca="1" ref="F194" ca="1">+_xludf.IFS(E194="50% teletrabajo",0.5, E194="25% teletrabajo",0.75,E194="75% teletrabajo",0.25,E194="100% teletrabajo",0,E194="100% trabajo presencial",1)</f>
        <v>#NAME?</v>
      </c>
      <c r="G194" s="1310" t="s">
        <v>1983</v>
      </c>
      <c r="H194" s="1310" t="e">
        <f t="array" aca="1" ref="H194" ca="1">+_xludf.IFS(G194="Vehículo - Uso individual","Auto",G194="Vehículo - Uso compartido","Auto",G194="Transporte público","Bus",G194="Moto","Moto",G194="Bicicleta o caminando","Bicicleta")</f>
        <v>#NAME?</v>
      </c>
      <c r="I194" s="1310">
        <v>1</v>
      </c>
      <c r="J194" s="1310">
        <v>0</v>
      </c>
      <c r="K194" s="1312" t="e">
        <f t="shared" ca="1" si="5"/>
        <v>#NAME?</v>
      </c>
      <c r="L194" s="1315" t="e">
        <f ca="1">+K194*I194*VLOOKUP(H194,'Factores Emisión EDGE'!$K$267:$L$272,2,FALSE)/1000</f>
        <v>#NAME?</v>
      </c>
    </row>
    <row r="195" spans="1:12">
      <c r="A195" s="1314">
        <v>44650.412281435187</v>
      </c>
      <c r="B195" s="1310" t="s">
        <v>2340</v>
      </c>
      <c r="C195" s="1310" t="s">
        <v>2341</v>
      </c>
      <c r="D195" s="1310" t="s">
        <v>1951</v>
      </c>
      <c r="E195" s="1310" t="s">
        <v>868</v>
      </c>
      <c r="F195" s="1310" t="e">
        <f t="array" aca="1" ref="F195" ca="1">+_xludf.IFS(E195="50% teletrabajo",0.5, E195="25% teletrabajo",0.75,E195="75% teletrabajo",0.25,E195="100% teletrabajo",0,E195="100% trabajo presencial",1)</f>
        <v>#NAME?</v>
      </c>
      <c r="G195" s="1310" t="s">
        <v>1964</v>
      </c>
      <c r="H195" s="1310" t="e">
        <f t="array" aca="1" ref="H195" ca="1">+_xludf.IFS(G195="Vehículo - Uso individual","Auto",G195="Vehículo - Uso compartido","Auto",G195="Transporte público","Bus",G195="Moto","Moto",G195="Bicicleta o caminando","Bicicleta")</f>
        <v>#NAME?</v>
      </c>
      <c r="I195" s="1310">
        <v>1</v>
      </c>
      <c r="J195" s="1310">
        <v>11</v>
      </c>
      <c r="K195" s="1312" t="e">
        <f t="shared" ca="1" si="5"/>
        <v>#NAME?</v>
      </c>
      <c r="L195" s="1315" t="e">
        <f ca="1">+K195*I195*VLOOKUP(H195,'Factores Emisión EDGE'!$K$267:$L$272,2,FALSE)/1000</f>
        <v>#NAME?</v>
      </c>
    </row>
    <row r="196" spans="1:12">
      <c r="A196" s="1314">
        <v>44650.412314375004</v>
      </c>
      <c r="B196" s="1310" t="s">
        <v>2342</v>
      </c>
      <c r="C196" s="1310" t="s">
        <v>2343</v>
      </c>
      <c r="D196" s="1310" t="s">
        <v>1951</v>
      </c>
      <c r="E196" s="1310" t="s">
        <v>1960</v>
      </c>
      <c r="F196" s="1310" t="e">
        <f t="array" aca="1" ref="F196" ca="1">+_xludf.IFS(E196="50% teletrabajo",0.5, E196="25% teletrabajo",0.75,E196="75% teletrabajo",0.25,E196="100% teletrabajo",0,E196="100% trabajo presencial",1)</f>
        <v>#NAME?</v>
      </c>
      <c r="G196" s="1310" t="s">
        <v>1964</v>
      </c>
      <c r="H196" s="1310" t="e">
        <f t="array" aca="1" ref="H196" ca="1">+_xludf.IFS(G196="Vehículo - Uso individual","Auto",G196="Vehículo - Uso compartido","Auto",G196="Transporte público","Bus",G196="Moto","Moto",G196="Bicicleta o caminando","Bicicleta")</f>
        <v>#NAME?</v>
      </c>
      <c r="I196" s="1310">
        <v>1</v>
      </c>
      <c r="J196" s="1310">
        <v>11</v>
      </c>
      <c r="K196" s="1312" t="e">
        <f t="shared" ca="1" si="5"/>
        <v>#NAME?</v>
      </c>
      <c r="L196" s="1315" t="e">
        <f ca="1">+K196*I196*VLOOKUP(H196,'Factores Emisión EDGE'!$K$267:$L$272,2,FALSE)/1000</f>
        <v>#NAME?</v>
      </c>
    </row>
    <row r="197" spans="1:12">
      <c r="A197" s="1314">
        <v>44650.412321203708</v>
      </c>
      <c r="B197" s="1312"/>
      <c r="C197" s="1312"/>
      <c r="D197" s="1310" t="s">
        <v>1951</v>
      </c>
      <c r="E197" s="1310" t="s">
        <v>868</v>
      </c>
      <c r="F197" s="1310" t="e">
        <f t="array" aca="1" ref="F197" ca="1">+_xludf.IFS(E197="50% teletrabajo",0.5, E197="25% teletrabajo",0.75,E197="75% teletrabajo",0.25,E197="100% teletrabajo",0,E197="100% trabajo presencial",1)</f>
        <v>#NAME?</v>
      </c>
      <c r="G197" s="1310" t="s">
        <v>1952</v>
      </c>
      <c r="H197" s="1310" t="e">
        <f t="array" aca="1" ref="H197" ca="1">+_xludf.IFS(G197="Vehículo - Uso individual","Auto",G197="Vehículo - Uso compartido","Auto",G197="Transporte público","Bus",G197="Moto","Moto",G197="Bicicleta o caminando","Bicicleta")</f>
        <v>#NAME?</v>
      </c>
      <c r="I197" s="1310">
        <v>1</v>
      </c>
      <c r="J197" s="1310">
        <v>10</v>
      </c>
      <c r="K197" s="1312" t="e">
        <f t="shared" ca="1" si="5"/>
        <v>#NAME?</v>
      </c>
      <c r="L197" s="1315" t="e">
        <f ca="1">+K197*I197*VLOOKUP(H197,'Factores Emisión EDGE'!$K$267:$L$272,2,FALSE)/1000</f>
        <v>#NAME?</v>
      </c>
    </row>
    <row r="198" spans="1:12">
      <c r="A198" s="1314">
        <v>44650.413173506946</v>
      </c>
      <c r="B198" s="1310" t="s">
        <v>2344</v>
      </c>
      <c r="C198" s="1310" t="s">
        <v>2345</v>
      </c>
      <c r="D198" s="1310" t="s">
        <v>1951</v>
      </c>
      <c r="E198" s="1310" t="s">
        <v>868</v>
      </c>
      <c r="F198" s="1310" t="e">
        <f t="array" aca="1" ref="F198" ca="1">+_xludf.IFS(E198="50% teletrabajo",0.5, E198="25% teletrabajo",0.75,E198="75% teletrabajo",0.25,E198="100% teletrabajo",0,E198="100% trabajo presencial",1)</f>
        <v>#NAME?</v>
      </c>
      <c r="G198" s="1310" t="s">
        <v>1983</v>
      </c>
      <c r="H198" s="1310" t="e">
        <f t="array" aca="1" ref="H198" ca="1">+_xludf.IFS(G198="Vehículo - Uso individual","Auto",G198="Vehículo - Uso compartido","Auto",G198="Transporte público","Bus",G198="Moto","Moto",G198="Bicicleta o caminando","Bicicleta")</f>
        <v>#NAME?</v>
      </c>
      <c r="I198" s="1310">
        <v>1</v>
      </c>
      <c r="J198" s="1310">
        <v>1.5</v>
      </c>
      <c r="K198" s="1312" t="e">
        <f t="shared" ca="1" si="5"/>
        <v>#NAME?</v>
      </c>
      <c r="L198" s="1315" t="e">
        <f ca="1">+K198*I198*VLOOKUP(H198,'Factores Emisión EDGE'!$K$267:$L$272,2,FALSE)/1000</f>
        <v>#NAME?</v>
      </c>
    </row>
    <row r="199" spans="1:12">
      <c r="A199" s="1314">
        <v>44650.413387662033</v>
      </c>
      <c r="B199" s="1310" t="s">
        <v>2346</v>
      </c>
      <c r="C199" s="1310" t="s">
        <v>2347</v>
      </c>
      <c r="D199" s="1310" t="s">
        <v>1951</v>
      </c>
      <c r="E199" s="1310" t="s">
        <v>1965</v>
      </c>
      <c r="F199" s="1310" t="e">
        <f t="array" aca="1" ref="F199" ca="1">+_xludf.IFS(E199="50% teletrabajo",0.5, E199="25% teletrabajo",0.75,E199="75% teletrabajo",0.25,E199="100% teletrabajo",0,E199="100% trabajo presencial",1)</f>
        <v>#NAME?</v>
      </c>
      <c r="G199" s="1310" t="s">
        <v>1952</v>
      </c>
      <c r="H199" s="1310" t="e">
        <f t="array" aca="1" ref="H199" ca="1">+_xludf.IFS(G199="Vehículo - Uso individual","Auto",G199="Vehículo - Uso compartido","Auto",G199="Transporte público","Bus",G199="Moto","Moto",G199="Bicicleta o caminando","Bicicleta")</f>
        <v>#NAME?</v>
      </c>
      <c r="I199" s="1310">
        <v>1</v>
      </c>
      <c r="J199" s="1310">
        <v>9.5</v>
      </c>
      <c r="K199" s="1312" t="e">
        <f t="shared" ca="1" si="5"/>
        <v>#NAME?</v>
      </c>
      <c r="L199" s="1315" t="e">
        <f ca="1">+K199*I199*VLOOKUP(H199,'Factores Emisión EDGE'!$K$267:$L$272,2,FALSE)/1000</f>
        <v>#NAME?</v>
      </c>
    </row>
    <row r="200" spans="1:12">
      <c r="A200" s="1314">
        <v>44650.414598564814</v>
      </c>
      <c r="B200" s="1310" t="s">
        <v>2348</v>
      </c>
      <c r="C200" s="1310" t="s">
        <v>2349</v>
      </c>
      <c r="D200" s="1310" t="s">
        <v>1951</v>
      </c>
      <c r="E200" s="1310" t="s">
        <v>1960</v>
      </c>
      <c r="F200" s="1310" t="e">
        <f t="array" aca="1" ref="F200" ca="1">+_xludf.IFS(E200="50% teletrabajo",0.5, E200="25% teletrabajo",0.75,E200="75% teletrabajo",0.25,E200="100% teletrabajo",0,E200="100% trabajo presencial",1)</f>
        <v>#NAME?</v>
      </c>
      <c r="G200" s="1310" t="s">
        <v>863</v>
      </c>
      <c r="H200" s="1310" t="e">
        <f t="array" aca="1" ref="H200" ca="1">+_xludf.IFS(G200="Vehículo - Uso individual","Auto",G200="Vehículo - Uso compartido","Auto",G200="Transporte público","Bus",G200="Moto","Moto",G200="Bicicleta o caminando","Bicicleta")</f>
        <v>#NAME?</v>
      </c>
      <c r="I200" s="1310">
        <v>1</v>
      </c>
      <c r="J200" s="1310">
        <v>3</v>
      </c>
      <c r="K200" s="1312" t="e">
        <f t="shared" ca="1" si="5"/>
        <v>#NAME?</v>
      </c>
      <c r="L200" s="1315" t="e">
        <f ca="1">+K200*I200*VLOOKUP(H200,'Factores Emisión EDGE'!$K$267:$L$272,2,FALSE)/1000</f>
        <v>#NAME?</v>
      </c>
    </row>
    <row r="201" spans="1:12">
      <c r="A201" s="1314">
        <v>44650.415060324071</v>
      </c>
      <c r="B201" s="1310" t="s">
        <v>2350</v>
      </c>
      <c r="C201" s="1310" t="s">
        <v>2351</v>
      </c>
      <c r="D201" s="1310" t="s">
        <v>1951</v>
      </c>
      <c r="E201" s="1310" t="s">
        <v>868</v>
      </c>
      <c r="F201" s="1310" t="e">
        <f t="array" aca="1" ref="F201" ca="1">+_xludf.IFS(E201="50% teletrabajo",0.5, E201="25% teletrabajo",0.75,E201="75% teletrabajo",0.25,E201="100% teletrabajo",0,E201="100% trabajo presencial",1)</f>
        <v>#NAME?</v>
      </c>
      <c r="G201" s="1310" t="s">
        <v>1952</v>
      </c>
      <c r="H201" s="1310" t="e">
        <f t="array" aca="1" ref="H201" ca="1">+_xludf.IFS(G201="Vehículo - Uso individual","Auto",G201="Vehículo - Uso compartido","Auto",G201="Transporte público","Bus",G201="Moto","Moto",G201="Bicicleta o caminando","Bicicleta")</f>
        <v>#NAME?</v>
      </c>
      <c r="I201" s="1310">
        <v>1</v>
      </c>
      <c r="J201" s="1319">
        <v>18200</v>
      </c>
      <c r="K201" s="1312" t="e">
        <f ca="1">+J201*F201</f>
        <v>#NAME?</v>
      </c>
      <c r="L201" s="1315" t="e">
        <f ca="1">+K201*I201*VLOOKUP(H201,'Factores Emisión EDGE'!$K$267:$L$272,2,FALSE)/1000</f>
        <v>#NAME?</v>
      </c>
    </row>
    <row r="202" spans="1:12">
      <c r="A202" s="1314">
        <v>44650.416283055558</v>
      </c>
      <c r="B202" s="1310" t="s">
        <v>2352</v>
      </c>
      <c r="C202" s="1310" t="s">
        <v>2353</v>
      </c>
      <c r="D202" s="1310" t="s">
        <v>1951</v>
      </c>
      <c r="E202" s="1310" t="s">
        <v>868</v>
      </c>
      <c r="F202" s="1310" t="e">
        <f t="array" aca="1" ref="F202" ca="1">+_xludf.IFS(E202="50% teletrabajo",0.5, E202="25% teletrabajo",0.75,E202="75% teletrabajo",0.25,E202="100% teletrabajo",0,E202="100% trabajo presencial",1)</f>
        <v>#NAME?</v>
      </c>
      <c r="G202" s="1310" t="s">
        <v>1964</v>
      </c>
      <c r="H202" s="1310" t="e">
        <f t="array" aca="1" ref="H202" ca="1">+_xludf.IFS(G202="Vehículo - Uso individual","Auto",G202="Vehículo - Uso compartido","Auto",G202="Transporte público","Bus",G202="Moto","Moto",G202="Bicicleta o caminando","Bicicleta")</f>
        <v>#NAME?</v>
      </c>
      <c r="I202" s="1310">
        <v>1</v>
      </c>
      <c r="J202" s="1310">
        <v>5</v>
      </c>
      <c r="K202" s="1312" t="e">
        <f t="shared" ref="K202:K223" ca="1" si="6">+J202*5*50*2*F202</f>
        <v>#NAME?</v>
      </c>
      <c r="L202" s="1315" t="e">
        <f ca="1">+K202*I202*VLOOKUP(H202,'Factores Emisión EDGE'!$K$267:$L$272,2,FALSE)/1000</f>
        <v>#NAME?</v>
      </c>
    </row>
    <row r="203" spans="1:12">
      <c r="A203" s="1314">
        <v>44650.416825011576</v>
      </c>
      <c r="B203" s="1310" t="s">
        <v>2354</v>
      </c>
      <c r="C203" s="1310" t="s">
        <v>2355</v>
      </c>
      <c r="D203" s="1310" t="s">
        <v>1951</v>
      </c>
      <c r="E203" s="1310" t="s">
        <v>1960</v>
      </c>
      <c r="F203" s="1310" t="e">
        <f t="array" aca="1" ref="F203" ca="1">+_xludf.IFS(E203="50% teletrabajo",0.5, E203="25% teletrabajo",0.75,E203="75% teletrabajo",0.25,E203="100% teletrabajo",0,E203="100% trabajo presencial",1)</f>
        <v>#NAME?</v>
      </c>
      <c r="G203" s="1310" t="s">
        <v>2356</v>
      </c>
      <c r="H203" s="1310" t="e">
        <f t="array" aca="1" ref="H203" ca="1">+_xludf.IFS(G203="Vehículo - Uso individual","Auto",G203="Vehículo - Uso compartido","Auto",G203="Transporte público","Bus",G203="Moto","Moto",G203="Bicicleta o caminando","Bicicleta")</f>
        <v>#NAME?</v>
      </c>
      <c r="I203" s="1310">
        <v>1</v>
      </c>
      <c r="J203" s="1312"/>
      <c r="K203" s="1312" t="e">
        <f t="shared" ca="1" si="6"/>
        <v>#NAME?</v>
      </c>
      <c r="L203" s="1315"/>
    </row>
    <row r="204" spans="1:12">
      <c r="A204" s="1314">
        <v>44650.417534398148</v>
      </c>
      <c r="B204" s="1310" t="s">
        <v>2357</v>
      </c>
      <c r="C204" s="1310" t="s">
        <v>2358</v>
      </c>
      <c r="D204" s="1310" t="s">
        <v>1951</v>
      </c>
      <c r="E204" s="1310" t="s">
        <v>868</v>
      </c>
      <c r="F204" s="1310" t="e">
        <f t="array" aca="1" ref="F204" ca="1">+_xludf.IFS(E204="50% teletrabajo",0.5, E204="25% teletrabajo",0.75,E204="75% teletrabajo",0.25,E204="100% teletrabajo",0,E204="100% trabajo presencial",1)</f>
        <v>#NAME?</v>
      </c>
      <c r="G204" s="1310" t="s">
        <v>1952</v>
      </c>
      <c r="H204" s="1310" t="e">
        <f t="array" aca="1" ref="H204" ca="1">+_xludf.IFS(G204="Vehículo - Uso individual","Auto",G204="Vehículo - Uso compartido","Auto",G204="Transporte público","Bus",G204="Moto","Moto",G204="Bicicleta o caminando","Bicicleta")</f>
        <v>#NAME?</v>
      </c>
      <c r="I204" s="1310">
        <v>1</v>
      </c>
      <c r="J204" s="1310">
        <v>25</v>
      </c>
      <c r="K204" s="1312" t="e">
        <f t="shared" ca="1" si="6"/>
        <v>#NAME?</v>
      </c>
      <c r="L204" s="1315" t="e">
        <f ca="1">+K204*I204*VLOOKUP(H204,'Factores Emisión EDGE'!$K$267:$L$272,2,FALSE)/1000</f>
        <v>#NAME?</v>
      </c>
    </row>
    <row r="205" spans="1:12">
      <c r="A205" s="1314">
        <v>44650.418730081015</v>
      </c>
      <c r="B205" s="1310" t="s">
        <v>2359</v>
      </c>
      <c r="C205" s="1310" t="s">
        <v>2360</v>
      </c>
      <c r="D205" s="1310" t="s">
        <v>1951</v>
      </c>
      <c r="E205" s="1310" t="s">
        <v>868</v>
      </c>
      <c r="F205" s="1310" t="e">
        <f t="array" aca="1" ref="F205" ca="1">+_xludf.IFS(E205="50% teletrabajo",0.5, E205="25% teletrabajo",0.75,E205="75% teletrabajo",0.25,E205="100% teletrabajo",0,E205="100% trabajo presencial",1)</f>
        <v>#NAME?</v>
      </c>
      <c r="G205" s="1310" t="s">
        <v>1952</v>
      </c>
      <c r="H205" s="1310" t="e">
        <f t="array" aca="1" ref="H205" ca="1">+_xludf.IFS(G205="Vehículo - Uso individual","Auto",G205="Vehículo - Uso compartido","Auto",G205="Transporte público","Bus",G205="Moto","Moto",G205="Bicicleta o caminando","Bicicleta")</f>
        <v>#NAME?</v>
      </c>
      <c r="I205" s="1310">
        <v>1</v>
      </c>
      <c r="J205" s="1310">
        <v>12</v>
      </c>
      <c r="K205" s="1312" t="e">
        <f t="shared" ca="1" si="6"/>
        <v>#NAME?</v>
      </c>
      <c r="L205" s="1315" t="e">
        <f ca="1">+K205*I205*VLOOKUP(H205,'Factores Emisión EDGE'!$K$267:$L$272,2,FALSE)/1000</f>
        <v>#NAME?</v>
      </c>
    </row>
    <row r="206" spans="1:12">
      <c r="A206" s="1314">
        <v>44650.419929768519</v>
      </c>
      <c r="B206" s="1310" t="s">
        <v>2361</v>
      </c>
      <c r="C206" s="1310" t="s">
        <v>2362</v>
      </c>
      <c r="D206" s="1310" t="s">
        <v>1951</v>
      </c>
      <c r="E206" s="1310" t="s">
        <v>1960</v>
      </c>
      <c r="F206" s="1310" t="e">
        <f t="array" aca="1" ref="F206" ca="1">+_xludf.IFS(E206="50% teletrabajo",0.5, E206="25% teletrabajo",0.75,E206="75% teletrabajo",0.25,E206="100% teletrabajo",0,E206="100% trabajo presencial",1)</f>
        <v>#NAME?</v>
      </c>
      <c r="G206" s="1310" t="s">
        <v>2356</v>
      </c>
      <c r="H206" s="1310" t="e">
        <f t="array" aca="1" ref="H206" ca="1">+_xludf.IFS(G206="Vehículo - Uso individual","Auto",G206="Vehículo - Uso compartido","Auto",G206="Transporte público","Bus",G206="Moto","Moto",G206="Bicicleta o caminando","Bicicleta")</f>
        <v>#NAME?</v>
      </c>
      <c r="I206" s="1310">
        <v>1</v>
      </c>
      <c r="J206" s="1312"/>
      <c r="K206" s="1312" t="e">
        <f t="shared" ca="1" si="6"/>
        <v>#NAME?</v>
      </c>
      <c r="L206" s="1315"/>
    </row>
    <row r="207" spans="1:12">
      <c r="A207" s="1314">
        <v>44650.420152222221</v>
      </c>
      <c r="B207" s="1310" t="s">
        <v>2363</v>
      </c>
      <c r="C207" s="1310" t="s">
        <v>2364</v>
      </c>
      <c r="D207" s="1310" t="s">
        <v>1951</v>
      </c>
      <c r="E207" s="1310" t="s">
        <v>872</v>
      </c>
      <c r="F207" s="1310" t="e">
        <f t="array" aca="1" ref="F207" ca="1">+_xludf.IFS(E207="50% teletrabajo",0.5, E207="25% teletrabajo",0.75,E207="75% teletrabajo",0.25,E207="100% teletrabajo",0,E207="100% trabajo presencial",1)</f>
        <v>#NAME?</v>
      </c>
      <c r="G207" s="1310" t="s">
        <v>1964</v>
      </c>
      <c r="H207" s="1310" t="e">
        <f t="array" aca="1" ref="H207" ca="1">+_xludf.IFS(G207="Vehículo - Uso individual","Auto",G207="Vehículo - Uso compartido","Auto",G207="Transporte público","Bus",G207="Moto","Moto",G207="Bicicleta o caminando","Bicicleta")</f>
        <v>#NAME?</v>
      </c>
      <c r="I207" s="1310">
        <v>1</v>
      </c>
      <c r="J207" s="1310">
        <v>30</v>
      </c>
      <c r="K207" s="1312" t="e">
        <f t="shared" ca="1" si="6"/>
        <v>#NAME?</v>
      </c>
      <c r="L207" s="1315" t="e">
        <f ca="1">+K207*I207*VLOOKUP(H207,'Factores Emisión EDGE'!$K$267:$L$272,2,FALSE)/1000</f>
        <v>#NAME?</v>
      </c>
    </row>
    <row r="208" spans="1:12">
      <c r="A208" s="1314">
        <v>44650.420953171299</v>
      </c>
      <c r="B208" s="1310" t="s">
        <v>2365</v>
      </c>
      <c r="C208" s="1310" t="s">
        <v>2366</v>
      </c>
      <c r="D208" s="1310" t="s">
        <v>1951</v>
      </c>
      <c r="E208" s="1310" t="s">
        <v>868</v>
      </c>
      <c r="F208" s="1310" t="e">
        <f t="array" aca="1" ref="F208" ca="1">+_xludf.IFS(E208="50% teletrabajo",0.5, E208="25% teletrabajo",0.75,E208="75% teletrabajo",0.25,E208="100% teletrabajo",0,E208="100% trabajo presencial",1)</f>
        <v>#NAME?</v>
      </c>
      <c r="G208" s="1310" t="s">
        <v>1964</v>
      </c>
      <c r="H208" s="1310" t="e">
        <f t="array" aca="1" ref="H208" ca="1">+_xludf.IFS(G208="Vehículo - Uso individual","Auto",G208="Vehículo - Uso compartido","Auto",G208="Transporte público","Bus",G208="Moto","Moto",G208="Bicicleta o caminando","Bicicleta")</f>
        <v>#NAME?</v>
      </c>
      <c r="I208" s="1310">
        <v>1</v>
      </c>
      <c r="J208" s="1310">
        <v>2</v>
      </c>
      <c r="K208" s="1312" t="e">
        <f t="shared" ca="1" si="6"/>
        <v>#NAME?</v>
      </c>
      <c r="L208" s="1315" t="e">
        <f ca="1">+K208*I208*VLOOKUP(H208,'Factores Emisión EDGE'!$K$267:$L$272,2,FALSE)/1000</f>
        <v>#NAME?</v>
      </c>
    </row>
    <row r="209" spans="1:12">
      <c r="A209" s="1314">
        <v>44650.422743425923</v>
      </c>
      <c r="B209" s="1310" t="s">
        <v>2367</v>
      </c>
      <c r="C209" s="1310" t="s">
        <v>2368</v>
      </c>
      <c r="D209" s="1310" t="s">
        <v>1951</v>
      </c>
      <c r="E209" s="1310" t="s">
        <v>1965</v>
      </c>
      <c r="F209" s="1310" t="e">
        <f t="array" aca="1" ref="F209" ca="1">+_xludf.IFS(E209="50% teletrabajo",0.5, E209="25% teletrabajo",0.75,E209="75% teletrabajo",0.25,E209="100% teletrabajo",0,E209="100% trabajo presencial",1)</f>
        <v>#NAME?</v>
      </c>
      <c r="G209" s="1310" t="s">
        <v>1964</v>
      </c>
      <c r="H209" s="1310" t="e">
        <f t="array" aca="1" ref="H209" ca="1">+_xludf.IFS(G209="Vehículo - Uso individual","Auto",G209="Vehículo - Uso compartido","Auto",G209="Transporte público","Bus",G209="Moto","Moto",G209="Bicicleta o caminando","Bicicleta")</f>
        <v>#NAME?</v>
      </c>
      <c r="I209" s="1310">
        <v>1</v>
      </c>
      <c r="J209" s="1310">
        <v>16</v>
      </c>
      <c r="K209" s="1312" t="e">
        <f t="shared" ca="1" si="6"/>
        <v>#NAME?</v>
      </c>
      <c r="L209" s="1315" t="e">
        <f ca="1">+K209*I209*VLOOKUP(H209,'Factores Emisión EDGE'!$K$267:$L$272,2,FALSE)/1000</f>
        <v>#NAME?</v>
      </c>
    </row>
    <row r="210" spans="1:12">
      <c r="A210" s="1314">
        <v>44650.423243993057</v>
      </c>
      <c r="B210" s="1310" t="s">
        <v>2369</v>
      </c>
      <c r="C210" s="1310" t="s">
        <v>2370</v>
      </c>
      <c r="D210" s="1310" t="s">
        <v>1951</v>
      </c>
      <c r="E210" s="1310" t="s">
        <v>1965</v>
      </c>
      <c r="F210" s="1310" t="e">
        <f t="array" aca="1" ref="F210" ca="1">+_xludf.IFS(E210="50% teletrabajo",0.5, E210="25% teletrabajo",0.75,E210="75% teletrabajo",0.25,E210="100% teletrabajo",0,E210="100% trabajo presencial",1)</f>
        <v>#NAME?</v>
      </c>
      <c r="G210" s="1310" t="s">
        <v>1952</v>
      </c>
      <c r="H210" s="1310" t="e">
        <f t="array" aca="1" ref="H210" ca="1">+_xludf.IFS(G210="Vehículo - Uso individual","Auto",G210="Vehículo - Uso compartido","Auto",G210="Transporte público","Bus",G210="Moto","Moto",G210="Bicicleta o caminando","Bicicleta")</f>
        <v>#NAME?</v>
      </c>
      <c r="I210" s="1310">
        <v>1</v>
      </c>
      <c r="J210" s="1310">
        <f>120/5</f>
        <v>24</v>
      </c>
      <c r="K210" s="1312" t="e">
        <f t="shared" ca="1" si="6"/>
        <v>#NAME?</v>
      </c>
      <c r="L210" s="1315" t="e">
        <f ca="1">+K210*I210*VLOOKUP(H210,'Factores Emisión EDGE'!$K$267:$L$272,2,FALSE)/1000</f>
        <v>#NAME?</v>
      </c>
    </row>
    <row r="211" spans="1:12">
      <c r="A211" s="1314">
        <v>44650.424210451391</v>
      </c>
      <c r="B211" s="1310" t="s">
        <v>2371</v>
      </c>
      <c r="C211" s="1310" t="s">
        <v>2372</v>
      </c>
      <c r="D211" s="1310" t="s">
        <v>1951</v>
      </c>
      <c r="E211" s="1310" t="s">
        <v>1960</v>
      </c>
      <c r="F211" s="1310" t="e">
        <f t="array" aca="1" ref="F211" ca="1">+_xludf.IFS(E211="50% teletrabajo",0.5, E211="25% teletrabajo",0.75,E211="75% teletrabajo",0.25,E211="100% teletrabajo",0,E211="100% trabajo presencial",1)</f>
        <v>#NAME?</v>
      </c>
      <c r="G211" s="1310" t="s">
        <v>1952</v>
      </c>
      <c r="H211" s="1310" t="e">
        <f t="array" aca="1" ref="H211" ca="1">+_xludf.IFS(G211="Vehículo - Uso individual","Auto",G211="Vehículo - Uso compartido","Auto",G211="Transporte público","Bus",G211="Moto","Moto",G211="Bicicleta o caminando","Bicicleta")</f>
        <v>#NAME?</v>
      </c>
      <c r="I211" s="1310">
        <v>1</v>
      </c>
      <c r="J211" s="1312"/>
      <c r="K211" s="1312" t="e">
        <f t="shared" ca="1" si="6"/>
        <v>#NAME?</v>
      </c>
      <c r="L211" s="1315" t="e">
        <f ca="1">+K211*I211*VLOOKUP(H211,'Factores Emisión EDGE'!$K$267:$L$272,2,FALSE)/1000</f>
        <v>#NAME?</v>
      </c>
    </row>
    <row r="212" spans="1:12">
      <c r="A212" s="1314">
        <v>44650.424226157411</v>
      </c>
      <c r="B212" s="1310" t="s">
        <v>2373</v>
      </c>
      <c r="C212" s="1310">
        <v>192269415</v>
      </c>
      <c r="D212" s="1310" t="s">
        <v>1951</v>
      </c>
      <c r="E212" s="1310" t="s">
        <v>868</v>
      </c>
      <c r="F212" s="1310" t="e">
        <f t="array" aca="1" ref="F212" ca="1">+_xludf.IFS(E212="50% teletrabajo",0.5, E212="25% teletrabajo",0.75,E212="75% teletrabajo",0.25,E212="100% teletrabajo",0,E212="100% trabajo presencial",1)</f>
        <v>#NAME?</v>
      </c>
      <c r="G212" s="1310" t="s">
        <v>1952</v>
      </c>
      <c r="H212" s="1310" t="e">
        <f t="array" aca="1" ref="H212" ca="1">+_xludf.IFS(G212="Vehículo - Uso individual","Auto",G212="Vehículo - Uso compartido","Auto",G212="Transporte público","Bus",G212="Moto","Moto",G212="Bicicleta o caminando","Bicicleta")</f>
        <v>#NAME?</v>
      </c>
      <c r="I212" s="1310">
        <v>1</v>
      </c>
      <c r="J212" s="1310">
        <v>28</v>
      </c>
      <c r="K212" s="1312" t="e">
        <f t="shared" ca="1" si="6"/>
        <v>#NAME?</v>
      </c>
      <c r="L212" s="1315" t="e">
        <f ca="1">+K212*I212*VLOOKUP(H212,'Factores Emisión EDGE'!$K$267:$L$272,2,FALSE)/1000</f>
        <v>#NAME?</v>
      </c>
    </row>
    <row r="213" spans="1:12">
      <c r="A213" s="1314">
        <v>44650.424919351848</v>
      </c>
      <c r="B213" s="1310" t="s">
        <v>2374</v>
      </c>
      <c r="C213" s="1310" t="s">
        <v>2375</v>
      </c>
      <c r="D213" s="1310" t="s">
        <v>1951</v>
      </c>
      <c r="E213" s="1310" t="s">
        <v>868</v>
      </c>
      <c r="F213" s="1310" t="e">
        <f t="array" aca="1" ref="F213" ca="1">+_xludf.IFS(E213="50% teletrabajo",0.5, E213="25% teletrabajo",0.75,E213="75% teletrabajo",0.25,E213="100% teletrabajo",0,E213="100% trabajo presencial",1)</f>
        <v>#NAME?</v>
      </c>
      <c r="G213" s="1310" t="s">
        <v>1952</v>
      </c>
      <c r="H213" s="1310" t="e">
        <f t="array" aca="1" ref="H213" ca="1">+_xludf.IFS(G213="Vehículo - Uso individual","Auto",G213="Vehículo - Uso compartido","Auto",G213="Transporte público","Bus",G213="Moto","Moto",G213="Bicicleta o caminando","Bicicleta")</f>
        <v>#NAME?</v>
      </c>
      <c r="I213" s="1310">
        <v>1</v>
      </c>
      <c r="J213" s="1310">
        <v>50</v>
      </c>
      <c r="K213" s="1312" t="e">
        <f t="shared" ca="1" si="6"/>
        <v>#NAME?</v>
      </c>
      <c r="L213" s="1315" t="e">
        <f ca="1">+K213*I213*VLOOKUP(H213,'Factores Emisión EDGE'!$K$267:$L$272,2,FALSE)/1000</f>
        <v>#NAME?</v>
      </c>
    </row>
    <row r="214" spans="1:12">
      <c r="A214" s="1314">
        <v>44650.425120567132</v>
      </c>
      <c r="B214" s="1310" t="s">
        <v>2376</v>
      </c>
      <c r="C214" s="1310" t="s">
        <v>2377</v>
      </c>
      <c r="D214" s="1310" t="s">
        <v>1951</v>
      </c>
      <c r="E214" s="1310" t="s">
        <v>872</v>
      </c>
      <c r="F214" s="1310" t="e">
        <f t="array" aca="1" ref="F214" ca="1">+_xludf.IFS(E214="50% teletrabajo",0.5, E214="25% teletrabajo",0.75,E214="75% teletrabajo",0.25,E214="100% teletrabajo",0,E214="100% trabajo presencial",1)</f>
        <v>#NAME?</v>
      </c>
      <c r="G214" s="1310" t="s">
        <v>1952</v>
      </c>
      <c r="H214" s="1310" t="e">
        <f t="array" aca="1" ref="H214" ca="1">+_xludf.IFS(G214="Vehículo - Uso individual","Auto",G214="Vehículo - Uso compartido","Auto",G214="Transporte público","Bus",G214="Moto","Moto",G214="Bicicleta o caminando","Bicicleta")</f>
        <v>#NAME?</v>
      </c>
      <c r="I214" s="1310">
        <v>1</v>
      </c>
      <c r="J214" s="1310">
        <v>10</v>
      </c>
      <c r="K214" s="1312" t="e">
        <f t="shared" ca="1" si="6"/>
        <v>#NAME?</v>
      </c>
      <c r="L214" s="1315" t="e">
        <f ca="1">+K214*I214*VLOOKUP(H214,'Factores Emisión EDGE'!$K$267:$L$272,2,FALSE)/1000</f>
        <v>#NAME?</v>
      </c>
    </row>
    <row r="215" spans="1:12">
      <c r="A215" s="1314">
        <v>44650.425272754626</v>
      </c>
      <c r="B215" s="1310" t="s">
        <v>2378</v>
      </c>
      <c r="C215" s="1310" t="s">
        <v>2379</v>
      </c>
      <c r="D215" s="1310" t="s">
        <v>1951</v>
      </c>
      <c r="E215" s="1310" t="s">
        <v>868</v>
      </c>
      <c r="F215" s="1310" t="e">
        <f t="array" aca="1" ref="F215" ca="1">+_xludf.IFS(E215="50% teletrabajo",0.5, E215="25% teletrabajo",0.75,E215="75% teletrabajo",0.25,E215="100% teletrabajo",0,E215="100% trabajo presencial",1)</f>
        <v>#NAME?</v>
      </c>
      <c r="G215" s="1310" t="s">
        <v>1983</v>
      </c>
      <c r="H215" s="1310" t="e">
        <f t="array" aca="1" ref="H215" ca="1">+_xludf.IFS(G215="Vehículo - Uso individual","Auto",G215="Vehículo - Uso compartido","Auto",G215="Transporte público","Bus",G215="Moto","Moto",G215="Bicicleta o caminando","Bicicleta")</f>
        <v>#NAME?</v>
      </c>
      <c r="I215" s="1310">
        <v>1</v>
      </c>
      <c r="J215" s="1310">
        <v>1</v>
      </c>
      <c r="K215" s="1312" t="e">
        <f t="shared" ca="1" si="6"/>
        <v>#NAME?</v>
      </c>
      <c r="L215" s="1315" t="e">
        <f ca="1">+K215*I215*VLOOKUP(H215,'Factores Emisión EDGE'!$K$267:$L$272,2,FALSE)/1000</f>
        <v>#NAME?</v>
      </c>
    </row>
    <row r="216" spans="1:12">
      <c r="A216" s="1314">
        <v>44650.425316458335</v>
      </c>
      <c r="B216" s="1310" t="s">
        <v>2380</v>
      </c>
      <c r="C216" s="1310" t="s">
        <v>2381</v>
      </c>
      <c r="D216" s="1310" t="s">
        <v>1951</v>
      </c>
      <c r="E216" s="1310" t="s">
        <v>1965</v>
      </c>
      <c r="F216" s="1310" t="e">
        <f t="array" aca="1" ref="F216" ca="1">+_xludf.IFS(E216="50% teletrabajo",0.5, E216="25% teletrabajo",0.75,E216="75% teletrabajo",0.25,E216="100% teletrabajo",0,E216="100% trabajo presencial",1)</f>
        <v>#NAME?</v>
      </c>
      <c r="G216" s="1310" t="s">
        <v>1995</v>
      </c>
      <c r="H216" s="1310" t="e">
        <f t="array" aca="1" ref="H216" ca="1">+_xludf.IFS(G216="Vehículo - Uso individual","Auto",G216="Vehículo - Uso compartido","Auto",G216="Transporte público","Bus",G216="Moto","Moto",G216="Bicicleta o caminando","Bicicleta")</f>
        <v>#NAME?</v>
      </c>
      <c r="I216" s="1310">
        <v>0.25</v>
      </c>
      <c r="J216" s="1310">
        <v>6</v>
      </c>
      <c r="K216" s="1312" t="e">
        <f t="shared" ca="1" si="6"/>
        <v>#NAME?</v>
      </c>
      <c r="L216" s="1315" t="e">
        <f ca="1">+K216*I216*VLOOKUP(H216,'Factores Emisión EDGE'!$K$267:$L$272,2,FALSE)/1000</f>
        <v>#NAME?</v>
      </c>
    </row>
    <row r="217" spans="1:12">
      <c r="A217" s="1314">
        <v>44650.426266377312</v>
      </c>
      <c r="B217" s="1310" t="s">
        <v>2382</v>
      </c>
      <c r="C217" s="1310" t="s">
        <v>2383</v>
      </c>
      <c r="D217" s="1310" t="s">
        <v>1951</v>
      </c>
      <c r="E217" s="1310" t="s">
        <v>1965</v>
      </c>
      <c r="F217" s="1310" t="e">
        <f t="array" aca="1" ref="F217" ca="1">+_xludf.IFS(E217="50% teletrabajo",0.5, E217="25% teletrabajo",0.75,E217="75% teletrabajo",0.25,E217="100% teletrabajo",0,E217="100% trabajo presencial",1)</f>
        <v>#NAME?</v>
      </c>
      <c r="G217" s="1310" t="s">
        <v>1952</v>
      </c>
      <c r="H217" s="1310" t="e">
        <f t="array" aca="1" ref="H217" ca="1">+_xludf.IFS(G217="Vehículo - Uso individual","Auto",G217="Vehículo - Uso compartido","Auto",G217="Transporte público","Bus",G217="Moto","Moto",G217="Bicicleta o caminando","Bicicleta")</f>
        <v>#NAME?</v>
      </c>
      <c r="I217" s="1310">
        <v>1</v>
      </c>
      <c r="J217" s="1310">
        <v>23</v>
      </c>
      <c r="K217" s="1312" t="e">
        <f t="shared" ca="1" si="6"/>
        <v>#NAME?</v>
      </c>
      <c r="L217" s="1315" t="e">
        <f ca="1">+K217*I217*VLOOKUP(H217,'Factores Emisión EDGE'!$K$267:$L$272,2,FALSE)/1000</f>
        <v>#NAME?</v>
      </c>
    </row>
    <row r="218" spans="1:12">
      <c r="A218" s="1314">
        <v>44650.426408726853</v>
      </c>
      <c r="B218" s="1310" t="s">
        <v>2384</v>
      </c>
      <c r="C218" s="1310" t="s">
        <v>2385</v>
      </c>
      <c r="D218" s="1310" t="s">
        <v>1951</v>
      </c>
      <c r="E218" s="1310" t="s">
        <v>868</v>
      </c>
      <c r="F218" s="1310" t="e">
        <f t="array" aca="1" ref="F218" ca="1">+_xludf.IFS(E218="50% teletrabajo",0.5, E218="25% teletrabajo",0.75,E218="75% teletrabajo",0.25,E218="100% teletrabajo",0,E218="100% trabajo presencial",1)</f>
        <v>#NAME?</v>
      </c>
      <c r="G218" s="1310" t="s">
        <v>1952</v>
      </c>
      <c r="H218" s="1310" t="e">
        <f t="array" aca="1" ref="H218" ca="1">+_xludf.IFS(G218="Vehículo - Uso individual","Auto",G218="Vehículo - Uso compartido","Auto",G218="Transporte público","Bus",G218="Moto","Moto",G218="Bicicleta o caminando","Bicicleta")</f>
        <v>#NAME?</v>
      </c>
      <c r="I218" s="1310">
        <v>1</v>
      </c>
      <c r="J218" s="1310">
        <v>21.5</v>
      </c>
      <c r="K218" s="1312" t="e">
        <f t="shared" ca="1" si="6"/>
        <v>#NAME?</v>
      </c>
      <c r="L218" s="1315" t="e">
        <f ca="1">+K218*I218*VLOOKUP(H218,'Factores Emisión EDGE'!$K$267:$L$272,2,FALSE)/1000</f>
        <v>#NAME?</v>
      </c>
    </row>
    <row r="219" spans="1:12">
      <c r="A219" s="1314">
        <v>44650.427741944441</v>
      </c>
      <c r="B219" s="1310" t="s">
        <v>2386</v>
      </c>
      <c r="C219" s="1310">
        <v>159950085</v>
      </c>
      <c r="D219" s="1310" t="s">
        <v>1951</v>
      </c>
      <c r="E219" s="1310" t="s">
        <v>868</v>
      </c>
      <c r="F219" s="1310" t="e">
        <f t="array" aca="1" ref="F219" ca="1">+_xludf.IFS(E219="50% teletrabajo",0.5, E219="25% teletrabajo",0.75,E219="75% teletrabajo",0.25,E219="100% teletrabajo",0,E219="100% trabajo presencial",1)</f>
        <v>#NAME?</v>
      </c>
      <c r="G219" s="1310" t="s">
        <v>1964</v>
      </c>
      <c r="H219" s="1310" t="e">
        <f t="array" aca="1" ref="H219" ca="1">+_xludf.IFS(G219="Vehículo - Uso individual","Auto",G219="Vehículo - Uso compartido","Auto",G219="Transporte público","Bus",G219="Moto","Moto",G219="Bicicleta o caminando","Bicicleta")</f>
        <v>#NAME?</v>
      </c>
      <c r="I219" s="1310">
        <v>1</v>
      </c>
      <c r="J219" s="1310">
        <v>16</v>
      </c>
      <c r="K219" s="1312" t="e">
        <f t="shared" ca="1" si="6"/>
        <v>#NAME?</v>
      </c>
      <c r="L219" s="1315" t="e">
        <f ca="1">+K219*I219*VLOOKUP(H219,'Factores Emisión EDGE'!$K$267:$L$272,2,FALSE)/1000</f>
        <v>#NAME?</v>
      </c>
    </row>
    <row r="220" spans="1:12">
      <c r="A220" s="1314">
        <v>44650.42867385417</v>
      </c>
      <c r="B220" s="1310" t="s">
        <v>2387</v>
      </c>
      <c r="C220" s="1310" t="s">
        <v>2388</v>
      </c>
      <c r="D220" s="1310" t="s">
        <v>1951</v>
      </c>
      <c r="E220" s="1310" t="s">
        <v>868</v>
      </c>
      <c r="F220" s="1310" t="e">
        <f t="array" aca="1" ref="F220" ca="1">+_xludf.IFS(E220="50% teletrabajo",0.5, E220="25% teletrabajo",0.75,E220="75% teletrabajo",0.25,E220="100% teletrabajo",0,E220="100% trabajo presencial",1)</f>
        <v>#NAME?</v>
      </c>
      <c r="G220" s="1310" t="s">
        <v>1952</v>
      </c>
      <c r="H220" s="1310" t="e">
        <f t="array" aca="1" ref="H220" ca="1">+_xludf.IFS(G220="Vehículo - Uso individual","Auto",G220="Vehículo - Uso compartido","Auto",G220="Transporte público","Bus",G220="Moto","Moto",G220="Bicicleta o caminando","Bicicleta")</f>
        <v>#NAME?</v>
      </c>
      <c r="I220" s="1310">
        <v>1</v>
      </c>
      <c r="J220" s="1310">
        <v>74</v>
      </c>
      <c r="K220" s="1312" t="e">
        <f t="shared" ca="1" si="6"/>
        <v>#NAME?</v>
      </c>
      <c r="L220" s="1315" t="e">
        <f ca="1">+K220*I220*VLOOKUP(H220,'Factores Emisión EDGE'!$K$267:$L$272,2,FALSE)/1000</f>
        <v>#NAME?</v>
      </c>
    </row>
    <row r="221" spans="1:12">
      <c r="A221" s="1314">
        <v>44650.429360648151</v>
      </c>
      <c r="B221" s="1310" t="s">
        <v>2389</v>
      </c>
      <c r="C221" s="1310" t="s">
        <v>2390</v>
      </c>
      <c r="D221" s="1310" t="s">
        <v>1951</v>
      </c>
      <c r="E221" s="1310" t="s">
        <v>872</v>
      </c>
      <c r="F221" s="1310" t="e">
        <f t="array" aca="1" ref="F221" ca="1">+_xludf.IFS(E221="50% teletrabajo",0.5, E221="25% teletrabajo",0.75,E221="75% teletrabajo",0.25,E221="100% teletrabajo",0,E221="100% trabajo presencial",1)</f>
        <v>#NAME?</v>
      </c>
      <c r="G221" s="1310" t="s">
        <v>1952</v>
      </c>
      <c r="H221" s="1310" t="e">
        <f t="array" aca="1" ref="H221" ca="1">+_xludf.IFS(G221="Vehículo - Uso individual","Auto",G221="Vehículo - Uso compartido","Auto",G221="Transporte público","Bus",G221="Moto","Moto",G221="Bicicleta o caminando","Bicicleta")</f>
        <v>#NAME?</v>
      </c>
      <c r="I221" s="1310">
        <v>1</v>
      </c>
      <c r="J221" s="1310">
        <v>5</v>
      </c>
      <c r="K221" s="1312" t="e">
        <f t="shared" ca="1" si="6"/>
        <v>#NAME?</v>
      </c>
      <c r="L221" s="1315" t="e">
        <f ca="1">+K221*I221*VLOOKUP(H221,'Factores Emisión EDGE'!$K$267:$L$272,2,FALSE)/1000</f>
        <v>#NAME?</v>
      </c>
    </row>
    <row r="222" spans="1:12">
      <c r="A222" s="1314">
        <v>44650.429527037035</v>
      </c>
      <c r="B222" s="1310" t="s">
        <v>2391</v>
      </c>
      <c r="C222" s="1310" t="s">
        <v>2392</v>
      </c>
      <c r="D222" s="1310" t="s">
        <v>1951</v>
      </c>
      <c r="E222" s="1310" t="s">
        <v>868</v>
      </c>
      <c r="F222" s="1310" t="e">
        <f t="array" aca="1" ref="F222" ca="1">+_xludf.IFS(E222="50% teletrabajo",0.5, E222="25% teletrabajo",0.75,E222="75% teletrabajo",0.25,E222="100% teletrabajo",0,E222="100% trabajo presencial",1)</f>
        <v>#NAME?</v>
      </c>
      <c r="G222" s="1310" t="s">
        <v>1964</v>
      </c>
      <c r="H222" s="1310" t="e">
        <f t="array" aca="1" ref="H222" ca="1">+_xludf.IFS(G222="Vehículo - Uso individual","Auto",G222="Vehículo - Uso compartido","Auto",G222="Transporte público","Bus",G222="Moto","Moto",G222="Bicicleta o caminando","Bicicleta")</f>
        <v>#NAME?</v>
      </c>
      <c r="I222" s="1310">
        <v>1</v>
      </c>
      <c r="J222" s="1310">
        <v>4</v>
      </c>
      <c r="K222" s="1312" t="e">
        <f t="shared" ca="1" si="6"/>
        <v>#NAME?</v>
      </c>
      <c r="L222" s="1315" t="e">
        <f ca="1">+K222*I222*VLOOKUP(H222,'Factores Emisión EDGE'!$K$267:$L$272,2,FALSE)/1000</f>
        <v>#NAME?</v>
      </c>
    </row>
    <row r="223" spans="1:12">
      <c r="A223" s="1314">
        <v>44650.429534513889</v>
      </c>
      <c r="B223" s="1310" t="s">
        <v>2393</v>
      </c>
      <c r="C223" s="1310" t="s">
        <v>2394</v>
      </c>
      <c r="D223" s="1310" t="s">
        <v>1951</v>
      </c>
      <c r="E223" s="1310" t="s">
        <v>1960</v>
      </c>
      <c r="F223" s="1310" t="e">
        <f t="array" aca="1" ref="F223" ca="1">+_xludf.IFS(E223="50% teletrabajo",0.5, E223="25% teletrabajo",0.75,E223="75% teletrabajo",0.25,E223="100% teletrabajo",0,E223="100% trabajo presencial",1)</f>
        <v>#NAME?</v>
      </c>
      <c r="G223" s="1310" t="s">
        <v>2356</v>
      </c>
      <c r="H223" s="1310" t="e">
        <f t="array" aca="1" ref="H223" ca="1">+_xludf.IFS(G223="Vehículo - Uso individual","Auto",G223="Vehículo - Uso compartido","Auto",G223="Transporte público","Bus",G223="Moto","Moto",G223="Bicicleta o caminando","Bicicleta")</f>
        <v>#NAME?</v>
      </c>
      <c r="I223" s="1310">
        <v>1</v>
      </c>
      <c r="J223" s="1312"/>
      <c r="K223" s="1312" t="e">
        <f t="shared" ca="1" si="6"/>
        <v>#NAME?</v>
      </c>
      <c r="L223" s="1315"/>
    </row>
    <row r="224" spans="1:12">
      <c r="A224" s="1314">
        <v>44650.431531018519</v>
      </c>
      <c r="B224" s="1310" t="s">
        <v>2395</v>
      </c>
      <c r="C224" s="1310" t="s">
        <v>2396</v>
      </c>
      <c r="D224" s="1310" t="s">
        <v>1951</v>
      </c>
      <c r="E224" s="1310" t="s">
        <v>872</v>
      </c>
      <c r="F224" s="1310" t="e">
        <f t="array" aca="1" ref="F224" ca="1">+_xludf.IFS(E224="50% teletrabajo",0.5, E224="25% teletrabajo",0.75,E224="75% teletrabajo",0.25,E224="100% teletrabajo",0,E224="100% trabajo presencial",1)</f>
        <v>#NAME?</v>
      </c>
      <c r="G224" s="1310" t="s">
        <v>1952</v>
      </c>
      <c r="H224" s="1310" t="e">
        <f t="array" aca="1" ref="H224" ca="1">+_xludf.IFS(G224="Vehículo - Uso individual","Auto",G224="Vehículo - Uso compartido","Auto",G224="Transporte público","Bus",G224="Moto","Moto",G224="Bicicleta o caminando","Bicicleta")</f>
        <v>#NAME?</v>
      </c>
      <c r="I224" s="1310">
        <v>1</v>
      </c>
      <c r="J224" s="1319">
        <v>2500</v>
      </c>
      <c r="K224" s="1312" t="e">
        <f ca="1">+J224*F224</f>
        <v>#NAME?</v>
      </c>
      <c r="L224" s="1315" t="e">
        <f ca="1">+K224*I224*VLOOKUP(H224,'Factores Emisión EDGE'!$K$267:$L$272,2,FALSE)/1000</f>
        <v>#NAME?</v>
      </c>
    </row>
    <row r="225" spans="1:12">
      <c r="A225" s="1314">
        <v>44650.431601585646</v>
      </c>
      <c r="B225" s="1310" t="s">
        <v>2397</v>
      </c>
      <c r="C225" s="1310" t="s">
        <v>2398</v>
      </c>
      <c r="D225" s="1310" t="s">
        <v>1951</v>
      </c>
      <c r="E225" s="1310" t="s">
        <v>1960</v>
      </c>
      <c r="F225" s="1310" t="e">
        <f t="array" aca="1" ref="F225" ca="1">+_xludf.IFS(E225="50% teletrabajo",0.5, E225="25% teletrabajo",0.75,E225="75% teletrabajo",0.25,E225="100% teletrabajo",0,E225="100% trabajo presencial",1)</f>
        <v>#NAME?</v>
      </c>
      <c r="G225" s="1310" t="s">
        <v>2356</v>
      </c>
      <c r="H225" s="1310" t="e">
        <f t="array" aca="1" ref="H225" ca="1">+_xludf.IFS(G225="Vehículo - Uso individual","Auto",G225="Vehículo - Uso compartido","Auto",G225="Transporte público","Bus",G225="Moto","Moto",G225="Bicicleta o caminando","Bicicleta")</f>
        <v>#NAME?</v>
      </c>
      <c r="I225" s="1310">
        <v>1</v>
      </c>
      <c r="J225" s="1312"/>
      <c r="K225" s="1312" t="e">
        <f t="shared" ref="K225:K312" ca="1" si="7">+J225*5*50*2*F225</f>
        <v>#NAME?</v>
      </c>
      <c r="L225" s="1315"/>
    </row>
    <row r="226" spans="1:12">
      <c r="A226" s="1314">
        <v>44650.431734849539</v>
      </c>
      <c r="B226" s="1310" t="s">
        <v>2399</v>
      </c>
      <c r="C226" s="1310" t="s">
        <v>2400</v>
      </c>
      <c r="D226" s="1310" t="s">
        <v>1951</v>
      </c>
      <c r="E226" s="1310" t="s">
        <v>868</v>
      </c>
      <c r="F226" s="1310" t="e">
        <f t="array" aca="1" ref="F226" ca="1">+_xludf.IFS(E226="50% teletrabajo",0.5, E226="25% teletrabajo",0.75,E226="75% teletrabajo",0.25,E226="100% teletrabajo",0,E226="100% trabajo presencial",1)</f>
        <v>#NAME?</v>
      </c>
      <c r="G226" s="1310" t="s">
        <v>1952</v>
      </c>
      <c r="H226" s="1310" t="e">
        <f t="array" aca="1" ref="H226" ca="1">+_xludf.IFS(G226="Vehículo - Uso individual","Auto",G226="Vehículo - Uso compartido","Auto",G226="Transporte público","Bus",G226="Moto","Moto",G226="Bicicleta o caminando","Bicicleta")</f>
        <v>#NAME?</v>
      </c>
      <c r="I226" s="1310">
        <v>1</v>
      </c>
      <c r="J226" s="1310">
        <v>25</v>
      </c>
      <c r="K226" s="1312" t="e">
        <f t="shared" ca="1" si="7"/>
        <v>#NAME?</v>
      </c>
      <c r="L226" s="1315" t="e">
        <f ca="1">+K226*I226*VLOOKUP(H226,'Factores Emisión EDGE'!$K$267:$L$272,2,FALSE)/1000</f>
        <v>#NAME?</v>
      </c>
    </row>
    <row r="227" spans="1:12">
      <c r="A227" s="1314">
        <v>44650.431943495365</v>
      </c>
      <c r="B227" s="1310" t="s">
        <v>2401</v>
      </c>
      <c r="C227" s="1310" t="s">
        <v>2402</v>
      </c>
      <c r="D227" s="1310" t="s">
        <v>1951</v>
      </c>
      <c r="E227" s="1310" t="s">
        <v>1960</v>
      </c>
      <c r="F227" s="1310" t="e">
        <f t="array" aca="1" ref="F227" ca="1">+_xludf.IFS(E227="50% teletrabajo",0.5, E227="25% teletrabajo",0.75,E227="75% teletrabajo",0.25,E227="100% teletrabajo",0,E227="100% trabajo presencial",1)</f>
        <v>#NAME?</v>
      </c>
      <c r="G227" s="1310" t="s">
        <v>2356</v>
      </c>
      <c r="H227" s="1310" t="e">
        <f t="array" aca="1" ref="H227" ca="1">+_xludf.IFS(G227="Vehículo - Uso individual","Auto",G227="Vehículo - Uso compartido","Auto",G227="Transporte público","Bus",G227="Moto","Moto",G227="Bicicleta o caminando","Bicicleta")</f>
        <v>#NAME?</v>
      </c>
      <c r="I227" s="1310">
        <v>1</v>
      </c>
      <c r="J227" s="1312"/>
      <c r="K227" s="1312" t="e">
        <f t="shared" ca="1" si="7"/>
        <v>#NAME?</v>
      </c>
      <c r="L227" s="1315"/>
    </row>
    <row r="228" spans="1:12">
      <c r="A228" s="1314">
        <v>44650.432613599536</v>
      </c>
      <c r="B228" s="1310" t="s">
        <v>2403</v>
      </c>
      <c r="C228" s="1310" t="s">
        <v>2404</v>
      </c>
      <c r="D228" s="1310" t="s">
        <v>1951</v>
      </c>
      <c r="E228" s="1310" t="s">
        <v>1955</v>
      </c>
      <c r="F228" s="1310" t="e">
        <f t="array" aca="1" ref="F228" ca="1">+_xludf.IFS(E228="50% teletrabajo",0.5, E228="25% teletrabajo",0.75,E228="75% teletrabajo",0.25,E228="100% teletrabajo",0,E228="100% trabajo presencial",1)</f>
        <v>#NAME?</v>
      </c>
      <c r="G228" s="1310" t="s">
        <v>1952</v>
      </c>
      <c r="H228" s="1310" t="e">
        <f t="array" aca="1" ref="H228" ca="1">+_xludf.IFS(G228="Vehículo - Uso individual","Auto",G228="Vehículo - Uso compartido","Auto",G228="Transporte público","Bus",G228="Moto","Moto",G228="Bicicleta o caminando","Bicicleta")</f>
        <v>#NAME?</v>
      </c>
      <c r="I228" s="1310">
        <v>1</v>
      </c>
      <c r="J228" s="1310"/>
      <c r="K228" s="1312" t="e">
        <f t="shared" ca="1" si="7"/>
        <v>#NAME?</v>
      </c>
      <c r="L228" s="1315" t="e">
        <f ca="1">+K228*I228*VLOOKUP(H228,'Factores Emisión EDGE'!$K$267:$L$272,2,FALSE)/1000</f>
        <v>#NAME?</v>
      </c>
    </row>
    <row r="229" spans="1:12">
      <c r="A229" s="1314">
        <v>44650.433183356479</v>
      </c>
      <c r="B229" s="1310" t="s">
        <v>2405</v>
      </c>
      <c r="C229" s="1310" t="s">
        <v>2406</v>
      </c>
      <c r="D229" s="1310" t="s">
        <v>1951</v>
      </c>
      <c r="E229" s="1310" t="s">
        <v>1965</v>
      </c>
      <c r="F229" s="1310" t="e">
        <f t="array" aca="1" ref="F229" ca="1">+_xludf.IFS(E229="50% teletrabajo",0.5, E229="25% teletrabajo",0.75,E229="75% teletrabajo",0.25,E229="100% teletrabajo",0,E229="100% trabajo presencial",1)</f>
        <v>#NAME?</v>
      </c>
      <c r="G229" s="1310" t="s">
        <v>1964</v>
      </c>
      <c r="H229" s="1310" t="e">
        <f t="array" aca="1" ref="H229" ca="1">+_xludf.IFS(G229="Vehículo - Uso individual","Auto",G229="Vehículo - Uso compartido","Auto",G229="Transporte público","Bus",G229="Moto","Moto",G229="Bicicleta o caminando","Bicicleta")</f>
        <v>#NAME?</v>
      </c>
      <c r="I229" s="1310">
        <v>1</v>
      </c>
      <c r="J229" s="1310">
        <v>24</v>
      </c>
      <c r="K229" s="1312" t="e">
        <f t="shared" ca="1" si="7"/>
        <v>#NAME?</v>
      </c>
      <c r="L229" s="1315" t="e">
        <f ca="1">+K229*I229*VLOOKUP(H229,'Factores Emisión EDGE'!$K$267:$L$272,2,FALSE)/1000</f>
        <v>#NAME?</v>
      </c>
    </row>
    <row r="230" spans="1:12">
      <c r="A230" s="1314">
        <v>44650.434361539352</v>
      </c>
      <c r="B230" s="1310" t="s">
        <v>2407</v>
      </c>
      <c r="C230" s="1310" t="s">
        <v>2408</v>
      </c>
      <c r="D230" s="1310" t="s">
        <v>1951</v>
      </c>
      <c r="E230" s="1310" t="s">
        <v>868</v>
      </c>
      <c r="F230" s="1310" t="e">
        <f t="array" aca="1" ref="F230" ca="1">+_xludf.IFS(E230="50% teletrabajo",0.5, E230="25% teletrabajo",0.75,E230="75% teletrabajo",0.25,E230="100% teletrabajo",0,E230="100% trabajo presencial",1)</f>
        <v>#NAME?</v>
      </c>
      <c r="G230" s="1310" t="s">
        <v>1964</v>
      </c>
      <c r="H230" s="1310" t="e">
        <f t="array" aca="1" ref="H230" ca="1">+_xludf.IFS(G230="Vehículo - Uso individual","Auto",G230="Vehículo - Uso compartido","Auto",G230="Transporte público","Bus",G230="Moto","Moto",G230="Bicicleta o caminando","Bicicleta")</f>
        <v>#NAME?</v>
      </c>
      <c r="I230" s="1310">
        <v>1</v>
      </c>
      <c r="J230" s="1310">
        <v>8.6999999999999993</v>
      </c>
      <c r="K230" s="1312" t="e">
        <f t="shared" ca="1" si="7"/>
        <v>#NAME?</v>
      </c>
      <c r="L230" s="1315" t="e">
        <f ca="1">+K230*I230*VLOOKUP(H230,'Factores Emisión EDGE'!$K$267:$L$272,2,FALSE)/1000</f>
        <v>#NAME?</v>
      </c>
    </row>
    <row r="231" spans="1:12">
      <c r="A231" s="1314">
        <v>44650.436825439814</v>
      </c>
      <c r="B231" s="1310" t="s">
        <v>2409</v>
      </c>
      <c r="C231" s="1310" t="s">
        <v>2410</v>
      </c>
      <c r="D231" s="1310" t="s">
        <v>1951</v>
      </c>
      <c r="E231" s="1310" t="s">
        <v>872</v>
      </c>
      <c r="F231" s="1310" t="e">
        <f t="array" aca="1" ref="F231" ca="1">+_xludf.IFS(E231="50% teletrabajo",0.5, E231="25% teletrabajo",0.75,E231="75% teletrabajo",0.25,E231="100% teletrabajo",0,E231="100% trabajo presencial",1)</f>
        <v>#NAME?</v>
      </c>
      <c r="G231" s="1310" t="s">
        <v>1952</v>
      </c>
      <c r="H231" s="1310" t="e">
        <f t="array" aca="1" ref="H231" ca="1">+_xludf.IFS(G231="Vehículo - Uso individual","Auto",G231="Vehículo - Uso compartido","Auto",G231="Transporte público","Bus",G231="Moto","Moto",G231="Bicicleta o caminando","Bicicleta")</f>
        <v>#NAME?</v>
      </c>
      <c r="I231" s="1310">
        <v>1</v>
      </c>
      <c r="J231" s="1310">
        <v>9</v>
      </c>
      <c r="K231" s="1312" t="e">
        <f t="shared" ca="1" si="7"/>
        <v>#NAME?</v>
      </c>
      <c r="L231" s="1315" t="e">
        <f ca="1">+K231*I231*VLOOKUP(H231,'Factores Emisión EDGE'!$K$267:$L$272,2,FALSE)/1000</f>
        <v>#NAME?</v>
      </c>
    </row>
    <row r="232" spans="1:12">
      <c r="A232" s="1314">
        <v>44650.437302534723</v>
      </c>
      <c r="B232" s="1310" t="s">
        <v>2411</v>
      </c>
      <c r="C232" s="1310" t="s">
        <v>2412</v>
      </c>
      <c r="D232" s="1310" t="s">
        <v>1951</v>
      </c>
      <c r="E232" s="1310" t="s">
        <v>868</v>
      </c>
      <c r="F232" s="1310" t="e">
        <f t="array" aca="1" ref="F232" ca="1">+_xludf.IFS(E232="50% teletrabajo",0.5, E232="25% teletrabajo",0.75,E232="75% teletrabajo",0.25,E232="100% teletrabajo",0,E232="100% trabajo presencial",1)</f>
        <v>#NAME?</v>
      </c>
      <c r="G232" s="1310" t="s">
        <v>1952</v>
      </c>
      <c r="H232" s="1310" t="e">
        <f t="array" aca="1" ref="H232" ca="1">+_xludf.IFS(G232="Vehículo - Uso individual","Auto",G232="Vehículo - Uso compartido","Auto",G232="Transporte público","Bus",G232="Moto","Moto",G232="Bicicleta o caminando","Bicicleta")</f>
        <v>#NAME?</v>
      </c>
      <c r="I232" s="1310">
        <v>1</v>
      </c>
      <c r="J232" s="1310">
        <v>10</v>
      </c>
      <c r="K232" s="1312" t="e">
        <f t="shared" ca="1" si="7"/>
        <v>#NAME?</v>
      </c>
      <c r="L232" s="1315" t="e">
        <f ca="1">+K232*I232*VLOOKUP(H232,'Factores Emisión EDGE'!$K$267:$L$272,2,FALSE)/1000</f>
        <v>#NAME?</v>
      </c>
    </row>
    <row r="233" spans="1:12">
      <c r="A233" s="1314">
        <v>44650.437843356485</v>
      </c>
      <c r="B233" s="1310" t="s">
        <v>2413</v>
      </c>
      <c r="C233" s="1310" t="s">
        <v>2414</v>
      </c>
      <c r="D233" s="1310" t="s">
        <v>1951</v>
      </c>
      <c r="E233" s="1310" t="s">
        <v>872</v>
      </c>
      <c r="F233" s="1310" t="e">
        <f t="array" aca="1" ref="F233" ca="1">+_xludf.IFS(E233="50% teletrabajo",0.5, E233="25% teletrabajo",0.75,E233="75% teletrabajo",0.25,E233="100% teletrabajo",0,E233="100% trabajo presencial",1)</f>
        <v>#NAME?</v>
      </c>
      <c r="G233" s="1310" t="s">
        <v>1964</v>
      </c>
      <c r="H233" s="1310" t="e">
        <f t="array" aca="1" ref="H233" ca="1">+_xludf.IFS(G233="Vehículo - Uso individual","Auto",G233="Vehículo - Uso compartido","Auto",G233="Transporte público","Bus",G233="Moto","Moto",G233="Bicicleta o caminando","Bicicleta")</f>
        <v>#NAME?</v>
      </c>
      <c r="I233" s="1310">
        <v>1</v>
      </c>
      <c r="J233" s="1310">
        <v>17</v>
      </c>
      <c r="K233" s="1312" t="e">
        <f t="shared" ca="1" si="7"/>
        <v>#NAME?</v>
      </c>
      <c r="L233" s="1315" t="e">
        <f ca="1">+K233*I233*VLOOKUP(H233,'Factores Emisión EDGE'!$K$267:$L$272,2,FALSE)/1000</f>
        <v>#NAME?</v>
      </c>
    </row>
    <row r="234" spans="1:12">
      <c r="A234" s="1314">
        <v>44650.438128344904</v>
      </c>
      <c r="B234" s="1310" t="s">
        <v>2415</v>
      </c>
      <c r="C234" s="1310" t="s">
        <v>2416</v>
      </c>
      <c r="D234" s="1310" t="s">
        <v>1951</v>
      </c>
      <c r="E234" s="1310" t="s">
        <v>868</v>
      </c>
      <c r="F234" s="1310" t="e">
        <f t="array" aca="1" ref="F234" ca="1">+_xludf.IFS(E234="50% teletrabajo",0.5, E234="25% teletrabajo",0.75,E234="75% teletrabajo",0.25,E234="100% teletrabajo",0,E234="100% trabajo presencial",1)</f>
        <v>#NAME?</v>
      </c>
      <c r="G234" s="1310" t="s">
        <v>1995</v>
      </c>
      <c r="H234" s="1310" t="e">
        <f t="array" aca="1" ref="H234" ca="1">+_xludf.IFS(G234="Vehículo - Uso individual","Auto",G234="Vehículo - Uso compartido","Auto",G234="Transporte público","Bus",G234="Moto","Moto",G234="Bicicleta o caminando","Bicicleta")</f>
        <v>#NAME?</v>
      </c>
      <c r="I234" s="1310">
        <v>0.25</v>
      </c>
      <c r="J234" s="1310">
        <v>6</v>
      </c>
      <c r="K234" s="1312" t="e">
        <f t="shared" ca="1" si="7"/>
        <v>#NAME?</v>
      </c>
      <c r="L234" s="1315" t="e">
        <f ca="1">+K234*I234*VLOOKUP(H234,'Factores Emisión EDGE'!$K$267:$L$272,2,FALSE)/1000</f>
        <v>#NAME?</v>
      </c>
    </row>
    <row r="235" spans="1:12">
      <c r="A235" s="1314">
        <v>44650.438531018517</v>
      </c>
      <c r="B235" s="1310" t="s">
        <v>2417</v>
      </c>
      <c r="C235" s="1310" t="s">
        <v>2418</v>
      </c>
      <c r="D235" s="1310" t="s">
        <v>1951</v>
      </c>
      <c r="E235" s="1310" t="s">
        <v>868</v>
      </c>
      <c r="F235" s="1310" t="e">
        <f t="array" aca="1" ref="F235" ca="1">+_xludf.IFS(E235="50% teletrabajo",0.5, E235="25% teletrabajo",0.75,E235="75% teletrabajo",0.25,E235="100% teletrabajo",0,E235="100% trabajo presencial",1)</f>
        <v>#NAME?</v>
      </c>
      <c r="G235" s="1310" t="s">
        <v>1952</v>
      </c>
      <c r="H235" s="1310" t="e">
        <f t="array" aca="1" ref="H235" ca="1">+_xludf.IFS(G235="Vehículo - Uso individual","Auto",G235="Vehículo - Uso compartido","Auto",G235="Transporte público","Bus",G235="Moto","Moto",G235="Bicicleta o caminando","Bicicleta")</f>
        <v>#NAME?</v>
      </c>
      <c r="I235" s="1310">
        <v>1</v>
      </c>
      <c r="J235" s="1310">
        <v>35</v>
      </c>
      <c r="K235" s="1312" t="e">
        <f t="shared" ca="1" si="7"/>
        <v>#NAME?</v>
      </c>
      <c r="L235" s="1315" t="e">
        <f ca="1">+K235*I235*VLOOKUP(H235,'Factores Emisión EDGE'!$K$267:$L$272,2,FALSE)/1000</f>
        <v>#NAME?</v>
      </c>
    </row>
    <row r="236" spans="1:12">
      <c r="A236" s="1314">
        <v>44650.439313842595</v>
      </c>
      <c r="B236" s="1310" t="s">
        <v>2419</v>
      </c>
      <c r="C236" s="1310" t="s">
        <v>2420</v>
      </c>
      <c r="D236" s="1310" t="s">
        <v>1951</v>
      </c>
      <c r="E236" s="1310" t="s">
        <v>868</v>
      </c>
      <c r="F236" s="1310" t="e">
        <f t="array" aca="1" ref="F236" ca="1">+_xludf.IFS(E236="50% teletrabajo",0.5, E236="25% teletrabajo",0.75,E236="75% teletrabajo",0.25,E236="100% teletrabajo",0,E236="100% trabajo presencial",1)</f>
        <v>#NAME?</v>
      </c>
      <c r="G236" s="1310" t="s">
        <v>1964</v>
      </c>
      <c r="H236" s="1310" t="e">
        <f t="array" aca="1" ref="H236" ca="1">+_xludf.IFS(G236="Vehículo - Uso individual","Auto",G236="Vehículo - Uso compartido","Auto",G236="Transporte público","Bus",G236="Moto","Moto",G236="Bicicleta o caminando","Bicicleta")</f>
        <v>#NAME?</v>
      </c>
      <c r="I236" s="1310">
        <v>1</v>
      </c>
      <c r="J236" s="1310">
        <v>2</v>
      </c>
      <c r="K236" s="1312" t="e">
        <f t="shared" ca="1" si="7"/>
        <v>#NAME?</v>
      </c>
      <c r="L236" s="1315" t="e">
        <f ca="1">+K236*I236*VLOOKUP(H236,'Factores Emisión EDGE'!$K$267:$L$272,2,FALSE)/1000</f>
        <v>#NAME?</v>
      </c>
    </row>
    <row r="237" spans="1:12">
      <c r="A237" s="1314">
        <v>44650.439333414353</v>
      </c>
      <c r="B237" s="1310" t="s">
        <v>2421</v>
      </c>
      <c r="C237" s="1310" t="s">
        <v>2422</v>
      </c>
      <c r="D237" s="1310" t="s">
        <v>1951</v>
      </c>
      <c r="E237" s="1310" t="s">
        <v>1955</v>
      </c>
      <c r="F237" s="1310" t="e">
        <f t="array" aca="1" ref="F237" ca="1">+_xludf.IFS(E237="50% teletrabajo",0.5, E237="25% teletrabajo",0.75,E237="75% teletrabajo",0.25,E237="100% teletrabajo",0,E237="100% trabajo presencial",1)</f>
        <v>#NAME?</v>
      </c>
      <c r="G237" s="1310" t="s">
        <v>1964</v>
      </c>
      <c r="H237" s="1310" t="e">
        <f t="array" aca="1" ref="H237" ca="1">+_xludf.IFS(G237="Vehículo - Uso individual","Auto",G237="Vehículo - Uso compartido","Auto",G237="Transporte público","Bus",G237="Moto","Moto",G237="Bicicleta o caminando","Bicicleta")</f>
        <v>#NAME?</v>
      </c>
      <c r="I237" s="1310">
        <v>1</v>
      </c>
      <c r="J237" s="1310">
        <v>20</v>
      </c>
      <c r="K237" s="1312" t="e">
        <f t="shared" ca="1" si="7"/>
        <v>#NAME?</v>
      </c>
      <c r="L237" s="1315" t="e">
        <f ca="1">+K237*I237*VLOOKUP(H237,'Factores Emisión EDGE'!$K$267:$L$272,2,FALSE)/1000</f>
        <v>#NAME?</v>
      </c>
    </row>
    <row r="238" spans="1:12">
      <c r="A238" s="1314">
        <v>44650.439786527779</v>
      </c>
      <c r="B238" s="1310" t="s">
        <v>2423</v>
      </c>
      <c r="C238" s="1310" t="s">
        <v>2424</v>
      </c>
      <c r="D238" s="1310" t="s">
        <v>1951</v>
      </c>
      <c r="E238" s="1310" t="s">
        <v>868</v>
      </c>
      <c r="F238" s="1310" t="e">
        <f t="array" aca="1" ref="F238" ca="1">+_xludf.IFS(E238="50% teletrabajo",0.5, E238="25% teletrabajo",0.75,E238="75% teletrabajo",0.25,E238="100% teletrabajo",0,E238="100% trabajo presencial",1)</f>
        <v>#NAME?</v>
      </c>
      <c r="G238" s="1310" t="s">
        <v>1952</v>
      </c>
      <c r="H238" s="1310" t="e">
        <f t="array" aca="1" ref="H238" ca="1">+_xludf.IFS(G238="Vehículo - Uso individual","Auto",G238="Vehículo - Uso compartido","Auto",G238="Transporte público","Bus",G238="Moto","Moto",G238="Bicicleta o caminando","Bicicleta")</f>
        <v>#NAME?</v>
      </c>
      <c r="I238" s="1310">
        <v>1</v>
      </c>
      <c r="J238" s="1310">
        <v>15</v>
      </c>
      <c r="K238" s="1312" t="e">
        <f t="shared" ca="1" si="7"/>
        <v>#NAME?</v>
      </c>
      <c r="L238" s="1315" t="e">
        <f ca="1">+K238*I238*VLOOKUP(H238,'Factores Emisión EDGE'!$K$267:$L$272,2,FALSE)/1000</f>
        <v>#NAME?</v>
      </c>
    </row>
    <row r="239" spans="1:12">
      <c r="A239" s="1314">
        <v>44650.440463182866</v>
      </c>
      <c r="B239" s="1310" t="s">
        <v>2425</v>
      </c>
      <c r="C239" s="1310" t="s">
        <v>2426</v>
      </c>
      <c r="D239" s="1310" t="s">
        <v>1951</v>
      </c>
      <c r="E239" s="1310" t="s">
        <v>1960</v>
      </c>
      <c r="F239" s="1310" t="e">
        <f t="array" aca="1" ref="F239" ca="1">+_xludf.IFS(E239="50% teletrabajo",0.5, E239="25% teletrabajo",0.75,E239="75% teletrabajo",0.25,E239="100% teletrabajo",0,E239="100% trabajo presencial",1)</f>
        <v>#NAME?</v>
      </c>
      <c r="G239" s="1310" t="s">
        <v>1952</v>
      </c>
      <c r="H239" s="1310" t="e">
        <f t="array" aca="1" ref="H239" ca="1">+_xludf.IFS(G239="Vehículo - Uso individual","Auto",G239="Vehículo - Uso compartido","Auto",G239="Transporte público","Bus",G239="Moto","Moto",G239="Bicicleta o caminando","Bicicleta")</f>
        <v>#NAME?</v>
      </c>
      <c r="I239" s="1310">
        <v>1</v>
      </c>
      <c r="J239" s="1310">
        <v>164.5</v>
      </c>
      <c r="K239" s="1312" t="e">
        <f t="shared" ca="1" si="7"/>
        <v>#NAME?</v>
      </c>
      <c r="L239" s="1315" t="e">
        <f ca="1">+K239*I239*VLOOKUP(H239,'Factores Emisión EDGE'!$K$267:$L$272,2,FALSE)/1000</f>
        <v>#NAME?</v>
      </c>
    </row>
    <row r="240" spans="1:12">
      <c r="A240" s="1314">
        <v>44650.441097442133</v>
      </c>
      <c r="B240" s="1310" t="s">
        <v>2427</v>
      </c>
      <c r="C240" s="1310" t="s">
        <v>2428</v>
      </c>
      <c r="D240" s="1310" t="s">
        <v>1951</v>
      </c>
      <c r="E240" s="1310" t="s">
        <v>868</v>
      </c>
      <c r="F240" s="1310" t="e">
        <f t="array" aca="1" ref="F240" ca="1">+_xludf.IFS(E240="50% teletrabajo",0.5, E240="25% teletrabajo",0.75,E240="75% teletrabajo",0.25,E240="100% teletrabajo",0,E240="100% trabajo presencial",1)</f>
        <v>#NAME?</v>
      </c>
      <c r="G240" s="1310" t="s">
        <v>1995</v>
      </c>
      <c r="H240" s="1310" t="e">
        <f t="array" aca="1" ref="H240" ca="1">+_xludf.IFS(G240="Vehículo - Uso individual","Auto",G240="Vehículo - Uso compartido","Auto",G240="Transporte público","Bus",G240="Moto","Moto",G240="Bicicleta o caminando","Bicicleta")</f>
        <v>#NAME?</v>
      </c>
      <c r="I240" s="1310">
        <v>0.25</v>
      </c>
      <c r="J240" s="1310">
        <v>45</v>
      </c>
      <c r="K240" s="1312" t="e">
        <f t="shared" ca="1" si="7"/>
        <v>#NAME?</v>
      </c>
      <c r="L240" s="1315" t="e">
        <f ca="1">+K240*I240*VLOOKUP(H240,'Factores Emisión EDGE'!$K$267:$L$272,2,FALSE)/1000</f>
        <v>#NAME?</v>
      </c>
    </row>
    <row r="241" spans="1:12">
      <c r="A241" s="1314">
        <v>44650.441266759255</v>
      </c>
      <c r="B241" s="1310" t="s">
        <v>170</v>
      </c>
      <c r="C241" s="1310" t="s">
        <v>2429</v>
      </c>
      <c r="D241" s="1310" t="s">
        <v>1951</v>
      </c>
      <c r="E241" s="1310" t="s">
        <v>1960</v>
      </c>
      <c r="F241" s="1310" t="e">
        <f t="array" aca="1" ref="F241" ca="1">+_xludf.IFS(E241="50% teletrabajo",0.5, E241="25% teletrabajo",0.75,E241="75% teletrabajo",0.25,E241="100% teletrabajo",0,E241="100% trabajo presencial",1)</f>
        <v>#NAME?</v>
      </c>
      <c r="G241" s="1310" t="s">
        <v>1952</v>
      </c>
      <c r="H241" s="1310" t="e">
        <f t="array" aca="1" ref="H241" ca="1">+_xludf.IFS(G241="Vehículo - Uso individual","Auto",G241="Vehículo - Uso compartido","Auto",G241="Transporte público","Bus",G241="Moto","Moto",G241="Bicicleta o caminando","Bicicleta")</f>
        <v>#NAME?</v>
      </c>
      <c r="I241" s="1310">
        <v>1</v>
      </c>
      <c r="J241" s="1310">
        <v>100</v>
      </c>
      <c r="K241" s="1312" t="e">
        <f t="shared" ca="1" si="7"/>
        <v>#NAME?</v>
      </c>
      <c r="L241" s="1315" t="e">
        <f ca="1">+K241*I241*VLOOKUP(H241,'Factores Emisión EDGE'!$K$267:$L$272,2,FALSE)/1000</f>
        <v>#NAME?</v>
      </c>
    </row>
    <row r="242" spans="1:12">
      <c r="A242" s="1314">
        <v>44650.441848159724</v>
      </c>
      <c r="B242" s="1310" t="s">
        <v>2430</v>
      </c>
      <c r="C242" s="1310" t="s">
        <v>2431</v>
      </c>
      <c r="D242" s="1310" t="s">
        <v>1951</v>
      </c>
      <c r="E242" s="1310" t="s">
        <v>1965</v>
      </c>
      <c r="F242" s="1310" t="e">
        <f t="array" aca="1" ref="F242" ca="1">+_xludf.IFS(E242="50% teletrabajo",0.5, E242="25% teletrabajo",0.75,E242="75% teletrabajo",0.25,E242="100% teletrabajo",0,E242="100% trabajo presencial",1)</f>
        <v>#NAME?</v>
      </c>
      <c r="G242" s="1310" t="s">
        <v>1952</v>
      </c>
      <c r="H242" s="1310" t="e">
        <f t="array" aca="1" ref="H242" ca="1">+_xludf.IFS(G242="Vehículo - Uso individual","Auto",G242="Vehículo - Uso compartido","Auto",G242="Transporte público","Bus",G242="Moto","Moto",G242="Bicicleta o caminando","Bicicleta")</f>
        <v>#NAME?</v>
      </c>
      <c r="I242" s="1310">
        <v>1</v>
      </c>
      <c r="J242" s="1310">
        <v>20</v>
      </c>
      <c r="K242" s="1312" t="e">
        <f t="shared" ca="1" si="7"/>
        <v>#NAME?</v>
      </c>
      <c r="L242" s="1315" t="e">
        <f ca="1">+K242*I242*VLOOKUP(H242,'Factores Emisión EDGE'!$K$267:$L$272,2,FALSE)/1000</f>
        <v>#NAME?</v>
      </c>
    </row>
    <row r="243" spans="1:12">
      <c r="A243" s="1314">
        <v>44650.442961886569</v>
      </c>
      <c r="B243" s="1310" t="s">
        <v>2432</v>
      </c>
      <c r="C243" s="1310" t="s">
        <v>2433</v>
      </c>
      <c r="D243" s="1310" t="s">
        <v>1951</v>
      </c>
      <c r="E243" s="1310" t="s">
        <v>1965</v>
      </c>
      <c r="F243" s="1310" t="e">
        <f t="array" aca="1" ref="F243" ca="1">+_xludf.IFS(E243="50% teletrabajo",0.5, E243="25% teletrabajo",0.75,E243="75% teletrabajo",0.25,E243="100% teletrabajo",0,E243="100% trabajo presencial",1)</f>
        <v>#NAME?</v>
      </c>
      <c r="G243" s="1310" t="s">
        <v>1952</v>
      </c>
      <c r="H243" s="1310" t="e">
        <f t="array" aca="1" ref="H243" ca="1">+_xludf.IFS(G243="Vehículo - Uso individual","Auto",G243="Vehículo - Uso compartido","Auto",G243="Transporte público","Bus",G243="Moto","Moto",G243="Bicicleta o caminando","Bicicleta")</f>
        <v>#NAME?</v>
      </c>
      <c r="I243" s="1310">
        <v>1</v>
      </c>
      <c r="J243" s="1310">
        <v>45</v>
      </c>
      <c r="K243" s="1312" t="e">
        <f t="shared" ca="1" si="7"/>
        <v>#NAME?</v>
      </c>
      <c r="L243" s="1315" t="e">
        <f ca="1">+K243*I243*VLOOKUP(H243,'Factores Emisión EDGE'!$K$267:$L$272,2,FALSE)/1000</f>
        <v>#NAME?</v>
      </c>
    </row>
    <row r="244" spans="1:12">
      <c r="A244" s="1314">
        <v>44650.443161944444</v>
      </c>
      <c r="B244" s="1310" t="s">
        <v>2434</v>
      </c>
      <c r="C244" s="1310" t="s">
        <v>2435</v>
      </c>
      <c r="D244" s="1310" t="s">
        <v>1951</v>
      </c>
      <c r="E244" s="1310" t="s">
        <v>868</v>
      </c>
      <c r="F244" s="1310" t="e">
        <f t="array" aca="1" ref="F244" ca="1">+_xludf.IFS(E244="50% teletrabajo",0.5, E244="25% teletrabajo",0.75,E244="75% teletrabajo",0.25,E244="100% teletrabajo",0,E244="100% trabajo presencial",1)</f>
        <v>#NAME?</v>
      </c>
      <c r="G244" s="1310" t="s">
        <v>1995</v>
      </c>
      <c r="H244" s="1310" t="e">
        <f t="array" aca="1" ref="H244" ca="1">+_xludf.IFS(G244="Vehículo - Uso individual","Auto",G244="Vehículo - Uso compartido","Auto",G244="Transporte público","Bus",G244="Moto","Moto",G244="Bicicleta o caminando","Bicicleta")</f>
        <v>#NAME?</v>
      </c>
      <c r="I244" s="1310">
        <v>0.25</v>
      </c>
      <c r="J244" s="1310">
        <v>6</v>
      </c>
      <c r="K244" s="1312" t="e">
        <f t="shared" ca="1" si="7"/>
        <v>#NAME?</v>
      </c>
      <c r="L244" s="1315" t="e">
        <f ca="1">+K244*I244*VLOOKUP(H244,'Factores Emisión EDGE'!$K$267:$L$272,2,FALSE)/1000</f>
        <v>#NAME?</v>
      </c>
    </row>
    <row r="245" spans="1:12">
      <c r="A245" s="1314">
        <v>44650.44316865741</v>
      </c>
      <c r="B245" s="1310" t="s">
        <v>2436</v>
      </c>
      <c r="C245" s="1310" t="s">
        <v>2437</v>
      </c>
      <c r="D245" s="1310" t="s">
        <v>1951</v>
      </c>
      <c r="E245" s="1310" t="s">
        <v>1960</v>
      </c>
      <c r="F245" s="1310" t="e">
        <f t="array" aca="1" ref="F245" ca="1">+_xludf.IFS(E245="50% teletrabajo",0.5, E245="25% teletrabajo",0.75,E245="75% teletrabajo",0.25,E245="100% teletrabajo",0,E245="100% trabajo presencial",1)</f>
        <v>#NAME?</v>
      </c>
      <c r="G245" s="1310" t="s">
        <v>2356</v>
      </c>
      <c r="H245" s="1310" t="e">
        <f t="array" aca="1" ref="H245" ca="1">+_xludf.IFS(G245="Vehículo - Uso individual","Auto",G245="Vehículo - Uso compartido","Auto",G245="Transporte público","Bus",G245="Moto","Moto",G245="Bicicleta o caminando","Bicicleta")</f>
        <v>#NAME?</v>
      </c>
      <c r="I245" s="1310">
        <v>1</v>
      </c>
      <c r="J245" s="1312"/>
      <c r="K245" s="1312" t="e">
        <f t="shared" ca="1" si="7"/>
        <v>#NAME?</v>
      </c>
      <c r="L245" s="1315"/>
    </row>
    <row r="246" spans="1:12">
      <c r="A246" s="1314">
        <v>44650.443286655092</v>
      </c>
      <c r="B246" s="1310" t="s">
        <v>2438</v>
      </c>
      <c r="C246" s="1310" t="s">
        <v>2439</v>
      </c>
      <c r="D246" s="1310" t="s">
        <v>1951</v>
      </c>
      <c r="E246" s="1310" t="s">
        <v>1955</v>
      </c>
      <c r="F246" s="1310" t="e">
        <f t="array" aca="1" ref="F246" ca="1">+_xludf.IFS(E246="50% teletrabajo",0.5, E246="25% teletrabajo",0.75,E246="75% teletrabajo",0.25,E246="100% teletrabajo",0,E246="100% trabajo presencial",1)</f>
        <v>#NAME?</v>
      </c>
      <c r="G246" s="1310" t="s">
        <v>1952</v>
      </c>
      <c r="H246" s="1310" t="e">
        <f t="array" aca="1" ref="H246" ca="1">+_xludf.IFS(G246="Vehículo - Uso individual","Auto",G246="Vehículo - Uso compartido","Auto",G246="Transporte público","Bus",G246="Moto","Moto",G246="Bicicleta o caminando","Bicicleta")</f>
        <v>#NAME?</v>
      </c>
      <c r="I246" s="1310">
        <v>1</v>
      </c>
      <c r="J246" s="1310">
        <v>16</v>
      </c>
      <c r="K246" s="1312" t="e">
        <f t="shared" ca="1" si="7"/>
        <v>#NAME?</v>
      </c>
      <c r="L246" s="1315" t="e">
        <f ca="1">+K246*I246*VLOOKUP(H246,'Factores Emisión EDGE'!$K$267:$L$272,2,FALSE)/1000</f>
        <v>#NAME?</v>
      </c>
    </row>
    <row r="247" spans="1:12">
      <c r="A247" s="1314">
        <v>44650.443549004631</v>
      </c>
      <c r="B247" s="1310" t="s">
        <v>2440</v>
      </c>
      <c r="C247" s="1310" t="s">
        <v>2441</v>
      </c>
      <c r="D247" s="1310" t="s">
        <v>1951</v>
      </c>
      <c r="E247" s="1310" t="s">
        <v>868</v>
      </c>
      <c r="F247" s="1310" t="e">
        <f t="array" aca="1" ref="F247" ca="1">+_xludf.IFS(E247="50% teletrabajo",0.5, E247="25% teletrabajo",0.75,E247="75% teletrabajo",0.25,E247="100% teletrabajo",0,E247="100% trabajo presencial",1)</f>
        <v>#NAME?</v>
      </c>
      <c r="G247" s="1310" t="s">
        <v>1952</v>
      </c>
      <c r="H247" s="1310" t="e">
        <f t="array" aca="1" ref="H247" ca="1">+_xludf.IFS(G247="Vehículo - Uso individual","Auto",G247="Vehículo - Uso compartido","Auto",G247="Transporte público","Bus",G247="Moto","Moto",G247="Bicicleta o caminando","Bicicleta")</f>
        <v>#NAME?</v>
      </c>
      <c r="I247" s="1310">
        <v>1</v>
      </c>
      <c r="J247" s="1310">
        <v>2.5</v>
      </c>
      <c r="K247" s="1312" t="e">
        <f t="shared" ca="1" si="7"/>
        <v>#NAME?</v>
      </c>
      <c r="L247" s="1315" t="e">
        <f ca="1">+K247*I247*VLOOKUP(H247,'Factores Emisión EDGE'!$K$267:$L$272,2,FALSE)/1000</f>
        <v>#NAME?</v>
      </c>
    </row>
    <row r="248" spans="1:12">
      <c r="A248" s="1314">
        <v>44650.443790138888</v>
      </c>
      <c r="B248" s="1310" t="s">
        <v>2442</v>
      </c>
      <c r="C248" s="1310" t="s">
        <v>2443</v>
      </c>
      <c r="D248" s="1310" t="s">
        <v>1951</v>
      </c>
      <c r="E248" s="1310" t="s">
        <v>872</v>
      </c>
      <c r="F248" s="1310" t="e">
        <f t="array" aca="1" ref="F248" ca="1">+_xludf.IFS(E248="50% teletrabajo",0.5, E248="25% teletrabajo",0.75,E248="75% teletrabajo",0.25,E248="100% teletrabajo",0,E248="100% trabajo presencial",1)</f>
        <v>#NAME?</v>
      </c>
      <c r="G248" s="1310" t="s">
        <v>1964</v>
      </c>
      <c r="H248" s="1310" t="e">
        <f t="array" aca="1" ref="H248" ca="1">+_xludf.IFS(G248="Vehículo - Uso individual","Auto",G248="Vehículo - Uso compartido","Auto",G248="Transporte público","Bus",G248="Moto","Moto",G248="Bicicleta o caminando","Bicicleta")</f>
        <v>#NAME?</v>
      </c>
      <c r="I248" s="1310">
        <v>1</v>
      </c>
      <c r="J248" s="1310">
        <v>10</v>
      </c>
      <c r="K248" s="1312" t="e">
        <f t="shared" ca="1" si="7"/>
        <v>#NAME?</v>
      </c>
      <c r="L248" s="1315" t="e">
        <f ca="1">+K248*I248*VLOOKUP(H248,'Factores Emisión EDGE'!$K$267:$L$272,2,FALSE)/1000</f>
        <v>#NAME?</v>
      </c>
    </row>
    <row r="249" spans="1:12">
      <c r="A249" s="1314">
        <v>44650.446753124997</v>
      </c>
      <c r="B249" s="1310" t="s">
        <v>2444</v>
      </c>
      <c r="C249" s="1310" t="s">
        <v>2445</v>
      </c>
      <c r="D249" s="1310" t="s">
        <v>1951</v>
      </c>
      <c r="E249" s="1310" t="s">
        <v>868</v>
      </c>
      <c r="F249" s="1310" t="e">
        <f t="array" aca="1" ref="F249" ca="1">+_xludf.IFS(E249="50% teletrabajo",0.5, E249="25% teletrabajo",0.75,E249="75% teletrabajo",0.25,E249="100% teletrabajo",0,E249="100% trabajo presencial",1)</f>
        <v>#NAME?</v>
      </c>
      <c r="G249" s="1310" t="s">
        <v>1995</v>
      </c>
      <c r="H249" s="1310" t="e">
        <f t="array" aca="1" ref="H249" ca="1">+_xludf.IFS(G249="Vehículo - Uso individual","Auto",G249="Vehículo - Uso compartido","Auto",G249="Transporte público","Bus",G249="Moto","Moto",G249="Bicicleta o caminando","Bicicleta")</f>
        <v>#NAME?</v>
      </c>
      <c r="I249" s="1310">
        <v>0.25</v>
      </c>
      <c r="J249" s="1310">
        <v>6</v>
      </c>
      <c r="K249" s="1312" t="e">
        <f t="shared" ca="1" si="7"/>
        <v>#NAME?</v>
      </c>
      <c r="L249" s="1315" t="e">
        <f ca="1">+K249*I249*VLOOKUP(H249,'Factores Emisión EDGE'!$K$267:$L$272,2,FALSE)/1000</f>
        <v>#NAME?</v>
      </c>
    </row>
    <row r="250" spans="1:12">
      <c r="A250" s="1314">
        <v>44650.447308738425</v>
      </c>
      <c r="B250" s="1310" t="s">
        <v>2446</v>
      </c>
      <c r="C250" s="1310" t="s">
        <v>2447</v>
      </c>
      <c r="D250" s="1310" t="s">
        <v>1951</v>
      </c>
      <c r="E250" s="1310" t="s">
        <v>1960</v>
      </c>
      <c r="F250" s="1310" t="e">
        <f t="array" aca="1" ref="F250" ca="1">+_xludf.IFS(E250="50% teletrabajo",0.5, E250="25% teletrabajo",0.75,E250="75% teletrabajo",0.25,E250="100% teletrabajo",0,E250="100% trabajo presencial",1)</f>
        <v>#NAME?</v>
      </c>
      <c r="G250" s="1310" t="s">
        <v>2356</v>
      </c>
      <c r="H250" s="1310" t="e">
        <f t="array" aca="1" ref="H250" ca="1">+_xludf.IFS(G250="Vehículo - Uso individual","Auto",G250="Vehículo - Uso compartido","Auto",G250="Transporte público","Bus",G250="Moto","Moto",G250="Bicicleta o caminando","Bicicleta")</f>
        <v>#NAME?</v>
      </c>
      <c r="I250" s="1310">
        <v>1</v>
      </c>
      <c r="J250" s="1312"/>
      <c r="K250" s="1312" t="e">
        <f t="shared" ca="1" si="7"/>
        <v>#NAME?</v>
      </c>
      <c r="L250" s="1315"/>
    </row>
    <row r="251" spans="1:12">
      <c r="A251" s="1314">
        <v>44650.447602268519</v>
      </c>
      <c r="B251" s="1310" t="s">
        <v>2448</v>
      </c>
      <c r="C251" s="1310" t="s">
        <v>2449</v>
      </c>
      <c r="D251" s="1310" t="s">
        <v>1951</v>
      </c>
      <c r="E251" s="1310" t="s">
        <v>868</v>
      </c>
      <c r="F251" s="1310" t="e">
        <f t="array" aca="1" ref="F251" ca="1">+_xludf.IFS(E251="50% teletrabajo",0.5, E251="25% teletrabajo",0.75,E251="75% teletrabajo",0.25,E251="100% teletrabajo",0,E251="100% trabajo presencial",1)</f>
        <v>#NAME?</v>
      </c>
      <c r="G251" s="1310" t="s">
        <v>1952</v>
      </c>
      <c r="H251" s="1310" t="e">
        <f t="array" aca="1" ref="H251" ca="1">+_xludf.IFS(G251="Vehículo - Uso individual","Auto",G251="Vehículo - Uso compartido","Auto",G251="Transporte público","Bus",G251="Moto","Moto",G251="Bicicleta o caminando","Bicicleta")</f>
        <v>#NAME?</v>
      </c>
      <c r="I251" s="1310">
        <v>1</v>
      </c>
      <c r="J251" s="1310">
        <v>2</v>
      </c>
      <c r="K251" s="1312" t="e">
        <f t="shared" ca="1" si="7"/>
        <v>#NAME?</v>
      </c>
      <c r="L251" s="1315" t="e">
        <f ca="1">+K251*I251*VLOOKUP(H251,'Factores Emisión EDGE'!$K$267:$L$272,2,FALSE)/1000</f>
        <v>#NAME?</v>
      </c>
    </row>
    <row r="252" spans="1:12">
      <c r="A252" s="1314">
        <v>44650.448952905092</v>
      </c>
      <c r="B252" s="1310" t="s">
        <v>2450</v>
      </c>
      <c r="C252" s="1310">
        <v>266962177</v>
      </c>
      <c r="D252" s="1310" t="s">
        <v>1951</v>
      </c>
      <c r="E252" s="1310" t="s">
        <v>1960</v>
      </c>
      <c r="F252" s="1310" t="e">
        <f t="array" aca="1" ref="F252" ca="1">+_xludf.IFS(E252="50% teletrabajo",0.5, E252="25% teletrabajo",0.75,E252="75% teletrabajo",0.25,E252="100% teletrabajo",0,E252="100% trabajo presencial",1)</f>
        <v>#NAME?</v>
      </c>
      <c r="G252" s="1310" t="s">
        <v>2356</v>
      </c>
      <c r="H252" s="1310" t="e">
        <f t="array" aca="1" ref="H252" ca="1">+_xludf.IFS(G252="Vehículo - Uso individual","Auto",G252="Vehículo - Uso compartido","Auto",G252="Transporte público","Bus",G252="Moto","Moto",G252="Bicicleta o caminando","Bicicleta")</f>
        <v>#NAME?</v>
      </c>
      <c r="I252" s="1310">
        <v>1</v>
      </c>
      <c r="J252" s="1312"/>
      <c r="K252" s="1312" t="e">
        <f t="shared" ca="1" si="7"/>
        <v>#NAME?</v>
      </c>
      <c r="L252" s="1315"/>
    </row>
    <row r="253" spans="1:12">
      <c r="A253" s="1314">
        <v>44650.450300787037</v>
      </c>
      <c r="B253" s="1310" t="s">
        <v>2451</v>
      </c>
      <c r="C253" s="1310" t="s">
        <v>2452</v>
      </c>
      <c r="D253" s="1310" t="s">
        <v>1951</v>
      </c>
      <c r="E253" s="1310" t="s">
        <v>868</v>
      </c>
      <c r="F253" s="1310" t="e">
        <f t="array" aca="1" ref="F253" ca="1">+_xludf.IFS(E253="50% teletrabajo",0.5, E253="25% teletrabajo",0.75,E253="75% teletrabajo",0.25,E253="100% teletrabajo",0,E253="100% trabajo presencial",1)</f>
        <v>#NAME?</v>
      </c>
      <c r="G253" s="1310" t="s">
        <v>1952</v>
      </c>
      <c r="H253" s="1310" t="e">
        <f t="array" aca="1" ref="H253" ca="1">+_xludf.IFS(G253="Vehículo - Uso individual","Auto",G253="Vehículo - Uso compartido","Auto",G253="Transporte público","Bus",G253="Moto","Moto",G253="Bicicleta o caminando","Bicicleta")</f>
        <v>#NAME?</v>
      </c>
      <c r="I253" s="1310">
        <v>1</v>
      </c>
      <c r="J253" s="1310">
        <v>45</v>
      </c>
      <c r="K253" s="1312" t="e">
        <f t="shared" ca="1" si="7"/>
        <v>#NAME?</v>
      </c>
      <c r="L253" s="1315" t="e">
        <f ca="1">+K253*I253*VLOOKUP(H253,'Factores Emisión EDGE'!$K$267:$L$272,2,FALSE)/1000</f>
        <v>#NAME?</v>
      </c>
    </row>
    <row r="254" spans="1:12">
      <c r="A254" s="1314">
        <v>44650.451713217597</v>
      </c>
      <c r="B254" s="1310" t="s">
        <v>2453</v>
      </c>
      <c r="C254" s="1310" t="s">
        <v>2454</v>
      </c>
      <c r="D254" s="1310" t="s">
        <v>1951</v>
      </c>
      <c r="E254" s="1310" t="s">
        <v>868</v>
      </c>
      <c r="F254" s="1310" t="e">
        <f t="array" aca="1" ref="F254" ca="1">+_xludf.IFS(E254="50% teletrabajo",0.5, E254="25% teletrabajo",0.75,E254="75% teletrabajo",0.25,E254="100% teletrabajo",0,E254="100% trabajo presencial",1)</f>
        <v>#NAME?</v>
      </c>
      <c r="G254" s="1310" t="s">
        <v>1952</v>
      </c>
      <c r="H254" s="1310" t="e">
        <f t="array" aca="1" ref="H254" ca="1">+_xludf.IFS(G254="Vehículo - Uso individual","Auto",G254="Vehículo - Uso compartido","Auto",G254="Transporte público","Bus",G254="Moto","Moto",G254="Bicicleta o caminando","Bicicleta")</f>
        <v>#NAME?</v>
      </c>
      <c r="I254" s="1310">
        <v>1</v>
      </c>
      <c r="J254" s="1310">
        <v>45</v>
      </c>
      <c r="K254" s="1312" t="e">
        <f t="shared" ca="1" si="7"/>
        <v>#NAME?</v>
      </c>
      <c r="L254" s="1315" t="e">
        <f ca="1">+K254*I254*VLOOKUP(H254,'Factores Emisión EDGE'!$K$267:$L$272,2,FALSE)/1000</f>
        <v>#NAME?</v>
      </c>
    </row>
    <row r="255" spans="1:12">
      <c r="A255" s="1314">
        <v>44650.452852349539</v>
      </c>
      <c r="B255" s="1310" t="s">
        <v>2455</v>
      </c>
      <c r="C255" s="1310" t="s">
        <v>2456</v>
      </c>
      <c r="D255" s="1310" t="s">
        <v>1951</v>
      </c>
      <c r="E255" s="1310" t="s">
        <v>868</v>
      </c>
      <c r="F255" s="1310" t="e">
        <f t="array" aca="1" ref="F255" ca="1">+_xludf.IFS(E255="50% teletrabajo",0.5, E255="25% teletrabajo",0.75,E255="75% teletrabajo",0.25,E255="100% teletrabajo",0,E255="100% trabajo presencial",1)</f>
        <v>#NAME?</v>
      </c>
      <c r="G255" s="1310" t="s">
        <v>1964</v>
      </c>
      <c r="H255" s="1310" t="e">
        <f t="array" aca="1" ref="H255" ca="1">+_xludf.IFS(G255="Vehículo - Uso individual","Auto",G255="Vehículo - Uso compartido","Auto",G255="Transporte público","Bus",G255="Moto","Moto",G255="Bicicleta o caminando","Bicicleta")</f>
        <v>#NAME?</v>
      </c>
      <c r="I255" s="1310">
        <v>1</v>
      </c>
      <c r="J255" s="1312"/>
      <c r="K255" s="1312" t="e">
        <f t="shared" ca="1" si="7"/>
        <v>#NAME?</v>
      </c>
      <c r="L255" s="1315" t="e">
        <f ca="1">+K255*I255*VLOOKUP(H255,'Factores Emisión EDGE'!$K$267:$L$272,2,FALSE)/1000</f>
        <v>#NAME?</v>
      </c>
    </row>
    <row r="256" spans="1:12">
      <c r="A256" s="1314">
        <v>44650.453844606483</v>
      </c>
      <c r="B256" s="1310" t="s">
        <v>2457</v>
      </c>
      <c r="C256" s="1310" t="s">
        <v>2458</v>
      </c>
      <c r="D256" s="1310" t="s">
        <v>1951</v>
      </c>
      <c r="E256" s="1310" t="s">
        <v>868</v>
      </c>
      <c r="F256" s="1310" t="e">
        <f t="array" aca="1" ref="F256" ca="1">+_xludf.IFS(E256="50% teletrabajo",0.5, E256="25% teletrabajo",0.75,E256="75% teletrabajo",0.25,E256="100% teletrabajo",0,E256="100% trabajo presencial",1)</f>
        <v>#NAME?</v>
      </c>
      <c r="G256" s="1310" t="s">
        <v>1952</v>
      </c>
      <c r="H256" s="1310" t="e">
        <f t="array" aca="1" ref="H256" ca="1">+_xludf.IFS(G256="Vehículo - Uso individual","Auto",G256="Vehículo - Uso compartido","Auto",G256="Transporte público","Bus",G256="Moto","Moto",G256="Bicicleta o caminando","Bicicleta")</f>
        <v>#NAME?</v>
      </c>
      <c r="I256" s="1310">
        <v>1</v>
      </c>
      <c r="J256" s="1310">
        <v>1</v>
      </c>
      <c r="K256" s="1312" t="e">
        <f t="shared" ca="1" si="7"/>
        <v>#NAME?</v>
      </c>
      <c r="L256" s="1315" t="e">
        <f ca="1">+K256*I256*VLOOKUP(H256,'Factores Emisión EDGE'!$K$267:$L$272,2,FALSE)/1000</f>
        <v>#NAME?</v>
      </c>
    </row>
    <row r="257" spans="1:12">
      <c r="A257" s="1314">
        <v>44650.454876111107</v>
      </c>
      <c r="B257" s="1310" t="s">
        <v>2459</v>
      </c>
      <c r="C257" s="1310" t="s">
        <v>2460</v>
      </c>
      <c r="D257" s="1310" t="s">
        <v>1951</v>
      </c>
      <c r="E257" s="1310" t="s">
        <v>868</v>
      </c>
      <c r="F257" s="1310" t="e">
        <f t="array" aca="1" ref="F257" ca="1">+_xludf.IFS(E257="50% teletrabajo",0.5, E257="25% teletrabajo",0.75,E257="75% teletrabajo",0.25,E257="100% teletrabajo",0,E257="100% trabajo presencial",1)</f>
        <v>#NAME?</v>
      </c>
      <c r="G257" s="1310" t="s">
        <v>1964</v>
      </c>
      <c r="H257" s="1310" t="e">
        <f t="array" aca="1" ref="H257" ca="1">+_xludf.IFS(G257="Vehículo - Uso individual","Auto",G257="Vehículo - Uso compartido","Auto",G257="Transporte público","Bus",G257="Moto","Moto",G257="Bicicleta o caminando","Bicicleta")</f>
        <v>#NAME?</v>
      </c>
      <c r="I257" s="1310">
        <v>1</v>
      </c>
      <c r="J257" s="1312"/>
      <c r="K257" s="1312" t="e">
        <f t="shared" ca="1" si="7"/>
        <v>#NAME?</v>
      </c>
      <c r="L257" s="1315" t="e">
        <f ca="1">+K257*I257*VLOOKUP(H257,'Factores Emisión EDGE'!$K$267:$L$272,2,FALSE)/1000</f>
        <v>#NAME?</v>
      </c>
    </row>
    <row r="258" spans="1:12">
      <c r="A258" s="1314">
        <v>44650.455708310183</v>
      </c>
      <c r="B258" s="1310" t="s">
        <v>2461</v>
      </c>
      <c r="C258" s="1310" t="s">
        <v>2462</v>
      </c>
      <c r="D258" s="1310" t="s">
        <v>1951</v>
      </c>
      <c r="E258" s="1310" t="s">
        <v>868</v>
      </c>
      <c r="F258" s="1310" t="e">
        <f t="array" aca="1" ref="F258" ca="1">+_xludf.IFS(E258="50% teletrabajo",0.5, E258="25% teletrabajo",0.75,E258="75% teletrabajo",0.25,E258="100% teletrabajo",0,E258="100% trabajo presencial",1)</f>
        <v>#NAME?</v>
      </c>
      <c r="G258" s="1310" t="s">
        <v>1964</v>
      </c>
      <c r="H258" s="1310" t="e">
        <f t="array" aca="1" ref="H258" ca="1">+_xludf.IFS(G258="Vehículo - Uso individual","Auto",G258="Vehículo - Uso compartido","Auto",G258="Transporte público","Bus",G258="Moto","Moto",G258="Bicicleta o caminando","Bicicleta")</f>
        <v>#NAME?</v>
      </c>
      <c r="I258" s="1310">
        <v>1</v>
      </c>
      <c r="J258" s="1310">
        <v>18</v>
      </c>
      <c r="K258" s="1312" t="e">
        <f t="shared" ca="1" si="7"/>
        <v>#NAME?</v>
      </c>
      <c r="L258" s="1315" t="e">
        <f ca="1">+K258*I258*VLOOKUP(H258,'Factores Emisión EDGE'!$K$267:$L$272,2,FALSE)/1000</f>
        <v>#NAME?</v>
      </c>
    </row>
    <row r="259" spans="1:12">
      <c r="A259" s="1314">
        <v>44650.457807303239</v>
      </c>
      <c r="B259" s="1310" t="s">
        <v>2463</v>
      </c>
      <c r="C259" s="1310" t="s">
        <v>2464</v>
      </c>
      <c r="D259" s="1310" t="s">
        <v>1951</v>
      </c>
      <c r="E259" s="1310" t="s">
        <v>1960</v>
      </c>
      <c r="F259" s="1310" t="e">
        <f t="array" aca="1" ref="F259" ca="1">+_xludf.IFS(E259="50% teletrabajo",0.5, E259="25% teletrabajo",0.75,E259="75% teletrabajo",0.25,E259="100% teletrabajo",0,E259="100% trabajo presencial",1)</f>
        <v>#NAME?</v>
      </c>
      <c r="G259" s="1310" t="s">
        <v>2356</v>
      </c>
      <c r="H259" s="1310" t="e">
        <f t="array" aca="1" ref="H259" ca="1">+_xludf.IFS(G259="Vehículo - Uso individual","Auto",G259="Vehículo - Uso compartido","Auto",G259="Transporte público","Bus",G259="Moto","Moto",G259="Bicicleta o caminando","Bicicleta")</f>
        <v>#NAME?</v>
      </c>
      <c r="I259" s="1310">
        <v>1</v>
      </c>
      <c r="J259" s="1312"/>
      <c r="K259" s="1312" t="e">
        <f t="shared" ca="1" si="7"/>
        <v>#NAME?</v>
      </c>
      <c r="L259" s="1315"/>
    </row>
    <row r="260" spans="1:12">
      <c r="A260" s="1314">
        <v>44650.4583580787</v>
      </c>
      <c r="B260" s="1310" t="s">
        <v>2465</v>
      </c>
      <c r="C260" s="1310" t="s">
        <v>2466</v>
      </c>
      <c r="D260" s="1310" t="s">
        <v>1951</v>
      </c>
      <c r="E260" s="1310" t="s">
        <v>872</v>
      </c>
      <c r="F260" s="1310" t="e">
        <f t="array" aca="1" ref="F260" ca="1">+_xludf.IFS(E260="50% teletrabajo",0.5, E260="25% teletrabajo",0.75,E260="75% teletrabajo",0.25,E260="100% teletrabajo",0,E260="100% trabajo presencial",1)</f>
        <v>#NAME?</v>
      </c>
      <c r="G260" s="1310" t="s">
        <v>1995</v>
      </c>
      <c r="H260" s="1310" t="e">
        <f t="array" aca="1" ref="H260" ca="1">+_xludf.IFS(G260="Vehículo - Uso individual","Auto",G260="Vehículo - Uso compartido","Auto",G260="Transporte público","Bus",G260="Moto","Moto",G260="Bicicleta o caminando","Bicicleta")</f>
        <v>#NAME?</v>
      </c>
      <c r="I260" s="1310">
        <v>0.25</v>
      </c>
      <c r="J260" s="1310">
        <v>22</v>
      </c>
      <c r="K260" s="1312" t="e">
        <f t="shared" ca="1" si="7"/>
        <v>#NAME?</v>
      </c>
      <c r="L260" s="1315" t="e">
        <f ca="1">+K260*I260*VLOOKUP(H260,'Factores Emisión EDGE'!$K$267:$L$272,2,FALSE)/1000</f>
        <v>#NAME?</v>
      </c>
    </row>
    <row r="261" spans="1:12">
      <c r="A261" s="1314">
        <v>44650.458706585647</v>
      </c>
      <c r="B261" s="1310" t="s">
        <v>2467</v>
      </c>
      <c r="C261" s="1310" t="s">
        <v>2468</v>
      </c>
      <c r="D261" s="1310" t="s">
        <v>1951</v>
      </c>
      <c r="E261" s="1310" t="s">
        <v>1965</v>
      </c>
      <c r="F261" s="1310" t="e">
        <f t="array" aca="1" ref="F261" ca="1">+_xludf.IFS(E261="50% teletrabajo",0.5, E261="25% teletrabajo",0.75,E261="75% teletrabajo",0.25,E261="100% teletrabajo",0,E261="100% trabajo presencial",1)</f>
        <v>#NAME?</v>
      </c>
      <c r="G261" s="1310" t="s">
        <v>1952</v>
      </c>
      <c r="H261" s="1310" t="e">
        <f t="array" aca="1" ref="H261" ca="1">+_xludf.IFS(G261="Vehículo - Uso individual","Auto",G261="Vehículo - Uso compartido","Auto",G261="Transporte público","Bus",G261="Moto","Moto",G261="Bicicleta o caminando","Bicicleta")</f>
        <v>#NAME?</v>
      </c>
      <c r="I261" s="1310">
        <v>1</v>
      </c>
      <c r="J261" s="1310">
        <v>15</v>
      </c>
      <c r="K261" s="1312" t="e">
        <f t="shared" ca="1" si="7"/>
        <v>#NAME?</v>
      </c>
      <c r="L261" s="1315" t="e">
        <f ca="1">+K261*I261*VLOOKUP(H261,'Factores Emisión EDGE'!$K$267:$L$272,2,FALSE)/1000</f>
        <v>#NAME?</v>
      </c>
    </row>
    <row r="262" spans="1:12">
      <c r="A262" s="1314">
        <v>44650.460234074075</v>
      </c>
      <c r="B262" s="1310" t="s">
        <v>2469</v>
      </c>
      <c r="C262" s="1310" t="s">
        <v>2470</v>
      </c>
      <c r="D262" s="1310" t="s">
        <v>1951</v>
      </c>
      <c r="E262" s="1310" t="s">
        <v>868</v>
      </c>
      <c r="F262" s="1310" t="e">
        <f t="array" aca="1" ref="F262" ca="1">+_xludf.IFS(E262="50% teletrabajo",0.5, E262="25% teletrabajo",0.75,E262="75% teletrabajo",0.25,E262="100% teletrabajo",0,E262="100% trabajo presencial",1)</f>
        <v>#NAME?</v>
      </c>
      <c r="G262" s="1310" t="s">
        <v>1964</v>
      </c>
      <c r="H262" s="1310" t="e">
        <f t="array" aca="1" ref="H262" ca="1">+_xludf.IFS(G262="Vehículo - Uso individual","Auto",G262="Vehículo - Uso compartido","Auto",G262="Transporte público","Bus",G262="Moto","Moto",G262="Bicicleta o caminando","Bicicleta")</f>
        <v>#NAME?</v>
      </c>
      <c r="I262" s="1310">
        <v>1</v>
      </c>
      <c r="J262" s="1310">
        <v>13</v>
      </c>
      <c r="K262" s="1312" t="e">
        <f t="shared" ca="1" si="7"/>
        <v>#NAME?</v>
      </c>
      <c r="L262" s="1315" t="e">
        <f ca="1">+K262*I262*VLOOKUP(H262,'Factores Emisión EDGE'!$K$267:$L$272,2,FALSE)/1000</f>
        <v>#NAME?</v>
      </c>
    </row>
    <row r="263" spans="1:12">
      <c r="A263" s="1314">
        <v>44650.461464837965</v>
      </c>
      <c r="B263" s="1310" t="s">
        <v>2471</v>
      </c>
      <c r="C263" s="1310" t="s">
        <v>2472</v>
      </c>
      <c r="D263" s="1310" t="s">
        <v>1951</v>
      </c>
      <c r="E263" s="1310" t="s">
        <v>1960</v>
      </c>
      <c r="F263" s="1310" t="e">
        <f t="array" aca="1" ref="F263" ca="1">+_xludf.IFS(E263="50% teletrabajo",0.5, E263="25% teletrabajo",0.75,E263="75% teletrabajo",0.25,E263="100% teletrabajo",0,E263="100% trabajo presencial",1)</f>
        <v>#NAME?</v>
      </c>
      <c r="G263" s="1310" t="s">
        <v>2356</v>
      </c>
      <c r="H263" s="1310" t="e">
        <f t="array" aca="1" ref="H263" ca="1">+_xludf.IFS(G263="Vehículo - Uso individual","Auto",G263="Vehículo - Uso compartido","Auto",G263="Transporte público","Bus",G263="Moto","Moto",G263="Bicicleta o caminando","Bicicleta")</f>
        <v>#NAME?</v>
      </c>
      <c r="I263" s="1310">
        <v>1</v>
      </c>
      <c r="J263" s="1310">
        <v>0</v>
      </c>
      <c r="K263" s="1312" t="e">
        <f t="shared" ca="1" si="7"/>
        <v>#NAME?</v>
      </c>
      <c r="L263" s="1315"/>
    </row>
    <row r="264" spans="1:12">
      <c r="A264" s="1314">
        <v>44650.462350104164</v>
      </c>
      <c r="B264" s="1310" t="s">
        <v>2473</v>
      </c>
      <c r="C264" s="1310" t="s">
        <v>2474</v>
      </c>
      <c r="D264" s="1310" t="s">
        <v>1951</v>
      </c>
      <c r="E264" s="1310" t="s">
        <v>1965</v>
      </c>
      <c r="F264" s="1310" t="e">
        <f t="array" aca="1" ref="F264" ca="1">+_xludf.IFS(E264="50% teletrabajo",0.5, E264="25% teletrabajo",0.75,E264="75% teletrabajo",0.25,E264="100% teletrabajo",0,E264="100% trabajo presencial",1)</f>
        <v>#NAME?</v>
      </c>
      <c r="G264" s="1310" t="s">
        <v>1964</v>
      </c>
      <c r="H264" s="1310" t="e">
        <f t="array" aca="1" ref="H264" ca="1">+_xludf.IFS(G264="Vehículo - Uso individual","Auto",G264="Vehículo - Uso compartido","Auto",G264="Transporte público","Bus",G264="Moto","Moto",G264="Bicicleta o caminando","Bicicleta")</f>
        <v>#NAME?</v>
      </c>
      <c r="I264" s="1310">
        <v>1</v>
      </c>
      <c r="J264" s="1310">
        <v>40</v>
      </c>
      <c r="K264" s="1312" t="e">
        <f t="shared" ca="1" si="7"/>
        <v>#NAME?</v>
      </c>
      <c r="L264" s="1315" t="e">
        <f ca="1">+K264*I264*VLOOKUP(H264,'Factores Emisión EDGE'!$K$267:$L$272,2,FALSE)/1000</f>
        <v>#NAME?</v>
      </c>
    </row>
    <row r="265" spans="1:12">
      <c r="A265" s="1314">
        <v>44650.462398344913</v>
      </c>
      <c r="B265" s="1310" t="s">
        <v>2475</v>
      </c>
      <c r="C265" s="1310" t="s">
        <v>2476</v>
      </c>
      <c r="D265" s="1310" t="s">
        <v>1951</v>
      </c>
      <c r="E265" s="1310" t="s">
        <v>1965</v>
      </c>
      <c r="F265" s="1310" t="e">
        <f t="array" aca="1" ref="F265" ca="1">+_xludf.IFS(E265="50% teletrabajo",0.5, E265="25% teletrabajo",0.75,E265="75% teletrabajo",0.25,E265="100% teletrabajo",0,E265="100% trabajo presencial",1)</f>
        <v>#NAME?</v>
      </c>
      <c r="G265" s="1310" t="s">
        <v>1952</v>
      </c>
      <c r="H265" s="1310" t="e">
        <f t="array" aca="1" ref="H265" ca="1">+_xludf.IFS(G265="Vehículo - Uso individual","Auto",G265="Vehículo - Uso compartido","Auto",G265="Transporte público","Bus",G265="Moto","Moto",G265="Bicicleta o caminando","Bicicleta")</f>
        <v>#NAME?</v>
      </c>
      <c r="I265" s="1310">
        <v>1</v>
      </c>
      <c r="J265" s="1310">
        <v>18</v>
      </c>
      <c r="K265" s="1312" t="e">
        <f t="shared" ca="1" si="7"/>
        <v>#NAME?</v>
      </c>
      <c r="L265" s="1315" t="e">
        <f ca="1">+K265*I265*VLOOKUP(H265,'Factores Emisión EDGE'!$K$267:$L$272,2,FALSE)/1000</f>
        <v>#NAME?</v>
      </c>
    </row>
    <row r="266" spans="1:12">
      <c r="A266" s="1314">
        <v>44650.464249201388</v>
      </c>
      <c r="B266" s="1310" t="s">
        <v>2477</v>
      </c>
      <c r="C266" s="1310" t="s">
        <v>2478</v>
      </c>
      <c r="D266" s="1310" t="s">
        <v>1951</v>
      </c>
      <c r="E266" s="1310" t="s">
        <v>868</v>
      </c>
      <c r="F266" s="1310" t="e">
        <f t="array" aca="1" ref="F266" ca="1">+_xludf.IFS(E266="50% teletrabajo",0.5, E266="25% teletrabajo",0.75,E266="75% teletrabajo",0.25,E266="100% teletrabajo",0,E266="100% trabajo presencial",1)</f>
        <v>#NAME?</v>
      </c>
      <c r="G266" s="1310" t="s">
        <v>2356</v>
      </c>
      <c r="H266" s="1310" t="e">
        <f t="array" aca="1" ref="H266" ca="1">+_xludf.IFS(G266="Vehículo - Uso individual","Auto",G266="Vehículo - Uso compartido","Auto",G266="Transporte público","Bus",G266="Moto","Moto",G266="Bicicleta o caminando","Bicicleta")</f>
        <v>#NAME?</v>
      </c>
      <c r="I266" s="1310">
        <v>1</v>
      </c>
      <c r="J266" s="1312"/>
      <c r="K266" s="1312" t="e">
        <f t="shared" ca="1" si="7"/>
        <v>#NAME?</v>
      </c>
      <c r="L266" s="1315"/>
    </row>
    <row r="267" spans="1:12">
      <c r="A267" s="1314">
        <v>44650.464598506944</v>
      </c>
      <c r="B267" s="1310" t="s">
        <v>2479</v>
      </c>
      <c r="C267" s="1310" t="s">
        <v>2480</v>
      </c>
      <c r="D267" s="1310" t="s">
        <v>1951</v>
      </c>
      <c r="E267" s="1310" t="s">
        <v>1960</v>
      </c>
      <c r="F267" s="1310" t="e">
        <f t="array" aca="1" ref="F267" ca="1">+_xludf.IFS(E267="50% teletrabajo",0.5, E267="25% teletrabajo",0.75,E267="75% teletrabajo",0.25,E267="100% teletrabajo",0,E267="100% trabajo presencial",1)</f>
        <v>#NAME?</v>
      </c>
      <c r="G267" s="1310" t="s">
        <v>2356</v>
      </c>
      <c r="H267" s="1310" t="e">
        <f t="array" aca="1" ref="H267" ca="1">+_xludf.IFS(G267="Vehículo - Uso individual","Auto",G267="Vehículo - Uso compartido","Auto",G267="Transporte público","Bus",G267="Moto","Moto",G267="Bicicleta o caminando","Bicicleta")</f>
        <v>#NAME?</v>
      </c>
      <c r="I267" s="1310">
        <v>1</v>
      </c>
      <c r="J267" s="1312"/>
      <c r="K267" s="1312" t="e">
        <f t="shared" ca="1" si="7"/>
        <v>#NAME?</v>
      </c>
      <c r="L267" s="1315"/>
    </row>
    <row r="268" spans="1:12">
      <c r="A268" s="1314">
        <v>44650.464761458337</v>
      </c>
      <c r="B268" s="1310" t="s">
        <v>2481</v>
      </c>
      <c r="C268" s="1310" t="s">
        <v>2482</v>
      </c>
      <c r="D268" s="1310" t="s">
        <v>1951</v>
      </c>
      <c r="E268" s="1310" t="s">
        <v>868</v>
      </c>
      <c r="F268" s="1310" t="e">
        <f t="array" aca="1" ref="F268" ca="1">+_xludf.IFS(E268="50% teletrabajo",0.5, E268="25% teletrabajo",0.75,E268="75% teletrabajo",0.25,E268="100% teletrabajo",0,E268="100% trabajo presencial",1)</f>
        <v>#NAME?</v>
      </c>
      <c r="G268" s="1310" t="s">
        <v>1964</v>
      </c>
      <c r="H268" s="1310" t="e">
        <f t="array" aca="1" ref="H268" ca="1">+_xludf.IFS(G268="Vehículo - Uso individual","Auto",G268="Vehículo - Uso compartido","Auto",G268="Transporte público","Bus",G268="Moto","Moto",G268="Bicicleta o caminando","Bicicleta")</f>
        <v>#NAME?</v>
      </c>
      <c r="I268" s="1310">
        <v>1</v>
      </c>
      <c r="J268" s="1310">
        <v>15</v>
      </c>
      <c r="K268" s="1312" t="e">
        <f t="shared" ca="1" si="7"/>
        <v>#NAME?</v>
      </c>
      <c r="L268" s="1315" t="e">
        <f ca="1">+K268*I268*VLOOKUP(H268,'Factores Emisión EDGE'!$K$267:$L$272,2,FALSE)/1000</f>
        <v>#NAME?</v>
      </c>
    </row>
    <row r="269" spans="1:12">
      <c r="A269" s="1314">
        <v>44650.467427199073</v>
      </c>
      <c r="B269" s="1310" t="s">
        <v>2483</v>
      </c>
      <c r="C269" s="1310" t="s">
        <v>2484</v>
      </c>
      <c r="D269" s="1310" t="s">
        <v>1951</v>
      </c>
      <c r="E269" s="1310" t="s">
        <v>1960</v>
      </c>
      <c r="F269" s="1310" t="e">
        <f t="array" aca="1" ref="F269" ca="1">+_xludf.IFS(E269="50% teletrabajo",0.5, E269="25% teletrabajo",0.75,E269="75% teletrabajo",0.25,E269="100% teletrabajo",0,E269="100% trabajo presencial",1)</f>
        <v>#NAME?</v>
      </c>
      <c r="G269" s="1310" t="s">
        <v>2356</v>
      </c>
      <c r="H269" s="1310" t="e">
        <f t="array" aca="1" ref="H269" ca="1">+_xludf.IFS(G269="Vehículo - Uso individual","Auto",G269="Vehículo - Uso compartido","Auto",G269="Transporte público","Bus",G269="Moto","Moto",G269="Bicicleta o caminando","Bicicleta")</f>
        <v>#NAME?</v>
      </c>
      <c r="I269" s="1310">
        <v>1</v>
      </c>
      <c r="J269" s="1310">
        <v>0</v>
      </c>
      <c r="K269" s="1312" t="e">
        <f t="shared" ca="1" si="7"/>
        <v>#NAME?</v>
      </c>
      <c r="L269" s="1315"/>
    </row>
    <row r="270" spans="1:12">
      <c r="A270" s="1314">
        <v>44650.467724224538</v>
      </c>
      <c r="B270" s="1310" t="s">
        <v>2485</v>
      </c>
      <c r="C270" s="1310" t="s">
        <v>2486</v>
      </c>
      <c r="D270" s="1310" t="s">
        <v>1951</v>
      </c>
      <c r="E270" s="1310" t="s">
        <v>1960</v>
      </c>
      <c r="F270" s="1310" t="e">
        <f t="array" aca="1" ref="F270" ca="1">+_xludf.IFS(E270="50% teletrabajo",0.5, E270="25% teletrabajo",0.75,E270="75% teletrabajo",0.25,E270="100% teletrabajo",0,E270="100% trabajo presencial",1)</f>
        <v>#NAME?</v>
      </c>
      <c r="G270" s="1310" t="s">
        <v>1952</v>
      </c>
      <c r="H270" s="1310" t="e">
        <f t="array" aca="1" ref="H270" ca="1">+_xludf.IFS(G270="Vehículo - Uso individual","Auto",G270="Vehículo - Uso compartido","Auto",G270="Transporte público","Bus",G270="Moto","Moto",G270="Bicicleta o caminando","Bicicleta")</f>
        <v>#NAME?</v>
      </c>
      <c r="I270" s="1310">
        <v>1</v>
      </c>
      <c r="J270" s="1312"/>
      <c r="K270" s="1312" t="e">
        <f t="shared" ca="1" si="7"/>
        <v>#NAME?</v>
      </c>
      <c r="L270" s="1315" t="e">
        <f ca="1">+K270*I270*VLOOKUP(H270,'Factores Emisión EDGE'!$K$267:$L$272,2,FALSE)/1000</f>
        <v>#NAME?</v>
      </c>
    </row>
    <row r="271" spans="1:12">
      <c r="A271" s="1314">
        <v>44650.467967199074</v>
      </c>
      <c r="B271" s="1310" t="s">
        <v>2487</v>
      </c>
      <c r="C271" s="1310" t="s">
        <v>2488</v>
      </c>
      <c r="D271" s="1310" t="s">
        <v>1951</v>
      </c>
      <c r="E271" s="1310" t="s">
        <v>1960</v>
      </c>
      <c r="F271" s="1310" t="e">
        <f t="array" aca="1" ref="F271" ca="1">+_xludf.IFS(E271="50% teletrabajo",0.5, E271="25% teletrabajo",0.75,E271="75% teletrabajo",0.25,E271="100% teletrabajo",0,E271="100% trabajo presencial",1)</f>
        <v>#NAME?</v>
      </c>
      <c r="G271" s="1310" t="s">
        <v>2356</v>
      </c>
      <c r="H271" s="1310" t="e">
        <f t="array" aca="1" ref="H271" ca="1">+_xludf.IFS(G271="Vehículo - Uso individual","Auto",G271="Vehículo - Uso compartido","Auto",G271="Transporte público","Bus",G271="Moto","Moto",G271="Bicicleta o caminando","Bicicleta")</f>
        <v>#NAME?</v>
      </c>
      <c r="I271" s="1310">
        <v>1</v>
      </c>
      <c r="J271" s="1312"/>
      <c r="K271" s="1312" t="e">
        <f t="shared" ca="1" si="7"/>
        <v>#NAME?</v>
      </c>
      <c r="L271" s="1315"/>
    </row>
    <row r="272" spans="1:12">
      <c r="A272" s="1314">
        <v>44650.468078275459</v>
      </c>
      <c r="B272" s="1310" t="s">
        <v>2489</v>
      </c>
      <c r="C272" s="1310" t="s">
        <v>2490</v>
      </c>
      <c r="D272" s="1310" t="s">
        <v>1951</v>
      </c>
      <c r="E272" s="1310" t="s">
        <v>868</v>
      </c>
      <c r="F272" s="1310" t="e">
        <f t="array" aca="1" ref="F272" ca="1">+_xludf.IFS(E272="50% teletrabajo",0.5, E272="25% teletrabajo",0.75,E272="75% teletrabajo",0.25,E272="100% teletrabajo",0,E272="100% trabajo presencial",1)</f>
        <v>#NAME?</v>
      </c>
      <c r="G272" s="1310" t="s">
        <v>1964</v>
      </c>
      <c r="H272" s="1310" t="e">
        <f t="array" aca="1" ref="H272" ca="1">+_xludf.IFS(G272="Vehículo - Uso individual","Auto",G272="Vehículo - Uso compartido","Auto",G272="Transporte público","Bus",G272="Moto","Moto",G272="Bicicleta o caminando","Bicicleta")</f>
        <v>#NAME?</v>
      </c>
      <c r="I272" s="1310">
        <v>1</v>
      </c>
      <c r="J272" s="1310">
        <v>30</v>
      </c>
      <c r="K272" s="1312" t="e">
        <f t="shared" ca="1" si="7"/>
        <v>#NAME?</v>
      </c>
      <c r="L272" s="1315" t="e">
        <f ca="1">+K272*I272*VLOOKUP(H272,'Factores Emisión EDGE'!$K$267:$L$272,2,FALSE)/1000</f>
        <v>#NAME?</v>
      </c>
    </row>
    <row r="273" spans="1:12">
      <c r="A273" s="1314">
        <v>44650.468143784718</v>
      </c>
      <c r="B273" s="1310" t="s">
        <v>2491</v>
      </c>
      <c r="C273" s="1310" t="s">
        <v>2492</v>
      </c>
      <c r="D273" s="1310" t="s">
        <v>1951</v>
      </c>
      <c r="E273" s="1310" t="s">
        <v>1960</v>
      </c>
      <c r="F273" s="1310" t="e">
        <f t="array" aca="1" ref="F273" ca="1">+_xludf.IFS(E273="50% teletrabajo",0.5, E273="25% teletrabajo",0.75,E273="75% teletrabajo",0.25,E273="100% teletrabajo",0,E273="100% trabajo presencial",1)</f>
        <v>#NAME?</v>
      </c>
      <c r="G273" s="1310" t="s">
        <v>1964</v>
      </c>
      <c r="H273" s="1310" t="e">
        <f t="array" aca="1" ref="H273" ca="1">+_xludf.IFS(G273="Vehículo - Uso individual","Auto",G273="Vehículo - Uso compartido","Auto",G273="Transporte público","Bus",G273="Moto","Moto",G273="Bicicleta o caminando","Bicicleta")</f>
        <v>#NAME?</v>
      </c>
      <c r="I273" s="1310">
        <v>1</v>
      </c>
      <c r="J273" s="1310">
        <v>34</v>
      </c>
      <c r="K273" s="1312" t="e">
        <f t="shared" ca="1" si="7"/>
        <v>#NAME?</v>
      </c>
      <c r="L273" s="1315" t="e">
        <f ca="1">+K273*I273*VLOOKUP(H273,'Factores Emisión EDGE'!$K$267:$L$272,2,FALSE)/1000</f>
        <v>#NAME?</v>
      </c>
    </row>
    <row r="274" spans="1:12">
      <c r="A274" s="1314">
        <v>44650.46886390046</v>
      </c>
      <c r="B274" s="1310" t="s">
        <v>2493</v>
      </c>
      <c r="C274" s="1310" t="s">
        <v>2494</v>
      </c>
      <c r="D274" s="1310" t="s">
        <v>1951</v>
      </c>
      <c r="E274" s="1310" t="s">
        <v>868</v>
      </c>
      <c r="F274" s="1310" t="e">
        <f t="array" aca="1" ref="F274" ca="1">+_xludf.IFS(E274="50% teletrabajo",0.5, E274="25% teletrabajo",0.75,E274="75% teletrabajo",0.25,E274="100% teletrabajo",0,E274="100% trabajo presencial",1)</f>
        <v>#NAME?</v>
      </c>
      <c r="G274" s="1310" t="s">
        <v>1964</v>
      </c>
      <c r="H274" s="1310" t="e">
        <f t="array" aca="1" ref="H274" ca="1">+_xludf.IFS(G274="Vehículo - Uso individual","Auto",G274="Vehículo - Uso compartido","Auto",G274="Transporte público","Bus",G274="Moto","Moto",G274="Bicicleta o caminando","Bicicleta")</f>
        <v>#NAME?</v>
      </c>
      <c r="I274" s="1310">
        <v>1</v>
      </c>
      <c r="J274" s="1310"/>
      <c r="K274" s="1312" t="e">
        <f t="shared" ca="1" si="7"/>
        <v>#NAME?</v>
      </c>
      <c r="L274" s="1315" t="e">
        <f ca="1">+K274*I274*VLOOKUP(H274,'Factores Emisión EDGE'!$K$267:$L$272,2,FALSE)/1000</f>
        <v>#NAME?</v>
      </c>
    </row>
    <row r="275" spans="1:12">
      <c r="A275" s="1314">
        <v>44650.469938738424</v>
      </c>
      <c r="B275" s="1310" t="s">
        <v>2495</v>
      </c>
      <c r="C275" s="1310" t="s">
        <v>2496</v>
      </c>
      <c r="D275" s="1310" t="s">
        <v>1951</v>
      </c>
      <c r="E275" s="1310" t="s">
        <v>1960</v>
      </c>
      <c r="F275" s="1310" t="e">
        <f t="array" aca="1" ref="F275" ca="1">+_xludf.IFS(E275="50% teletrabajo",0.5, E275="25% teletrabajo",0.75,E275="75% teletrabajo",0.25,E275="100% teletrabajo",0,E275="100% trabajo presencial",1)</f>
        <v>#NAME?</v>
      </c>
      <c r="G275" s="1310" t="s">
        <v>2356</v>
      </c>
      <c r="H275" s="1310" t="e">
        <f t="array" aca="1" ref="H275" ca="1">+_xludf.IFS(G275="Vehículo - Uso individual","Auto",G275="Vehículo - Uso compartido","Auto",G275="Transporte público","Bus",G275="Moto","Moto",G275="Bicicleta o caminando","Bicicleta")</f>
        <v>#NAME?</v>
      </c>
      <c r="I275" s="1310">
        <v>1</v>
      </c>
      <c r="J275" s="1312"/>
      <c r="K275" s="1312" t="e">
        <f t="shared" ca="1" si="7"/>
        <v>#NAME?</v>
      </c>
      <c r="L275" s="1315"/>
    </row>
    <row r="276" spans="1:12">
      <c r="A276" s="1314">
        <v>44650.471056122682</v>
      </c>
      <c r="B276" s="1310" t="s">
        <v>2497</v>
      </c>
      <c r="C276" s="1310" t="s">
        <v>2498</v>
      </c>
      <c r="D276" s="1310" t="s">
        <v>1951</v>
      </c>
      <c r="E276" s="1310" t="s">
        <v>868</v>
      </c>
      <c r="F276" s="1310" t="e">
        <f t="array" aca="1" ref="F276" ca="1">+_xludf.IFS(E276="50% teletrabajo",0.5, E276="25% teletrabajo",0.75,E276="75% teletrabajo",0.25,E276="100% teletrabajo",0,E276="100% trabajo presencial",1)</f>
        <v>#NAME?</v>
      </c>
      <c r="G276" s="1310" t="s">
        <v>1964</v>
      </c>
      <c r="H276" s="1310" t="e">
        <f t="array" aca="1" ref="H276" ca="1">+_xludf.IFS(G276="Vehículo - Uso individual","Auto",G276="Vehículo - Uso compartido","Auto",G276="Transporte público","Bus",G276="Moto","Moto",G276="Bicicleta o caminando","Bicicleta")</f>
        <v>#NAME?</v>
      </c>
      <c r="I276" s="1310">
        <v>1</v>
      </c>
      <c r="J276" s="1310">
        <v>10</v>
      </c>
      <c r="K276" s="1312" t="e">
        <f t="shared" ca="1" si="7"/>
        <v>#NAME?</v>
      </c>
      <c r="L276" s="1315" t="e">
        <f ca="1">+K276*I276*VLOOKUP(H276,'Factores Emisión EDGE'!$K$267:$L$272,2,FALSE)/1000</f>
        <v>#NAME?</v>
      </c>
    </row>
    <row r="277" spans="1:12">
      <c r="A277" s="1314">
        <v>44650.471100937502</v>
      </c>
      <c r="B277" s="1310" t="s">
        <v>2499</v>
      </c>
      <c r="C277" s="1310" t="s">
        <v>2500</v>
      </c>
      <c r="D277" s="1310" t="s">
        <v>1951</v>
      </c>
      <c r="E277" s="1310" t="s">
        <v>868</v>
      </c>
      <c r="F277" s="1310" t="e">
        <f t="array" aca="1" ref="F277" ca="1">+_xludf.IFS(E277="50% teletrabajo",0.5, E277="25% teletrabajo",0.75,E277="75% teletrabajo",0.25,E277="100% teletrabajo",0,E277="100% trabajo presencial",1)</f>
        <v>#NAME?</v>
      </c>
      <c r="G277" s="1310" t="s">
        <v>1952</v>
      </c>
      <c r="H277" s="1310" t="e">
        <f t="array" aca="1" ref="H277" ca="1">+_xludf.IFS(G277="Vehículo - Uso individual","Auto",G277="Vehículo - Uso compartido","Auto",G277="Transporte público","Bus",G277="Moto","Moto",G277="Bicicleta o caminando","Bicicleta")</f>
        <v>#NAME?</v>
      </c>
      <c r="I277" s="1310">
        <v>1</v>
      </c>
      <c r="J277" s="1310">
        <v>20</v>
      </c>
      <c r="K277" s="1312" t="e">
        <f t="shared" ca="1" si="7"/>
        <v>#NAME?</v>
      </c>
      <c r="L277" s="1315" t="e">
        <f ca="1">+K277*I277*VLOOKUP(H277,'Factores Emisión EDGE'!$K$267:$L$272,2,FALSE)/1000</f>
        <v>#NAME?</v>
      </c>
    </row>
    <row r="278" spans="1:12">
      <c r="A278" s="1314">
        <v>44650.472661504631</v>
      </c>
      <c r="B278" s="1310" t="s">
        <v>2501</v>
      </c>
      <c r="C278" s="1310" t="s">
        <v>2502</v>
      </c>
      <c r="D278" s="1310" t="s">
        <v>1951</v>
      </c>
      <c r="E278" s="1310" t="s">
        <v>868</v>
      </c>
      <c r="F278" s="1310" t="e">
        <f t="array" aca="1" ref="F278" ca="1">+_xludf.IFS(E278="50% teletrabajo",0.5, E278="25% teletrabajo",0.75,E278="75% teletrabajo",0.25,E278="100% teletrabajo",0,E278="100% trabajo presencial",1)</f>
        <v>#NAME?</v>
      </c>
      <c r="G278" s="1310" t="s">
        <v>1952</v>
      </c>
      <c r="H278" s="1310" t="e">
        <f t="array" aca="1" ref="H278" ca="1">+_xludf.IFS(G278="Vehículo - Uso individual","Auto",G278="Vehículo - Uso compartido","Auto",G278="Transporte público","Bus",G278="Moto","Moto",G278="Bicicleta o caminando","Bicicleta")</f>
        <v>#NAME?</v>
      </c>
      <c r="I278" s="1310">
        <v>1</v>
      </c>
      <c r="J278" s="1310">
        <v>5</v>
      </c>
      <c r="K278" s="1312" t="e">
        <f t="shared" ca="1" si="7"/>
        <v>#NAME?</v>
      </c>
      <c r="L278" s="1315" t="e">
        <f ca="1">+K278*I278*VLOOKUP(H278,'Factores Emisión EDGE'!$K$267:$L$272,2,FALSE)/1000</f>
        <v>#NAME?</v>
      </c>
    </row>
    <row r="279" spans="1:12">
      <c r="A279" s="1314">
        <v>44650.476344583338</v>
      </c>
      <c r="B279" s="1310" t="s">
        <v>2503</v>
      </c>
      <c r="C279" s="1310" t="s">
        <v>2504</v>
      </c>
      <c r="D279" s="1310" t="s">
        <v>1951</v>
      </c>
      <c r="E279" s="1310" t="s">
        <v>868</v>
      </c>
      <c r="F279" s="1310" t="e">
        <f t="array" aca="1" ref="F279" ca="1">+_xludf.IFS(E279="50% teletrabajo",0.5, E279="25% teletrabajo",0.75,E279="75% teletrabajo",0.25,E279="100% teletrabajo",0,E279="100% trabajo presencial",1)</f>
        <v>#NAME?</v>
      </c>
      <c r="G279" s="1310" t="s">
        <v>1983</v>
      </c>
      <c r="H279" s="1310" t="e">
        <f t="array" aca="1" ref="H279" ca="1">+_xludf.IFS(G279="Vehículo - Uso individual","Auto",G279="Vehículo - Uso compartido","Auto",G279="Transporte público","Bus",G279="Moto","Moto",G279="Bicicleta o caminando","Bicicleta")</f>
        <v>#NAME?</v>
      </c>
      <c r="I279" s="1310">
        <v>1</v>
      </c>
      <c r="J279" s="1310">
        <v>2</v>
      </c>
      <c r="K279" s="1312" t="e">
        <f t="shared" ca="1" si="7"/>
        <v>#NAME?</v>
      </c>
      <c r="L279" s="1315" t="e">
        <f ca="1">+K279*I279*VLOOKUP(H279,'Factores Emisión EDGE'!$K$267:$L$272,2,FALSE)/1000</f>
        <v>#NAME?</v>
      </c>
    </row>
    <row r="280" spans="1:12">
      <c r="A280" s="1314">
        <v>44650.476947604169</v>
      </c>
      <c r="B280" s="1310" t="s">
        <v>2505</v>
      </c>
      <c r="C280" s="1310" t="s">
        <v>2506</v>
      </c>
      <c r="D280" s="1310" t="s">
        <v>1951</v>
      </c>
      <c r="E280" s="1310" t="s">
        <v>868</v>
      </c>
      <c r="F280" s="1310" t="e">
        <f t="array" aca="1" ref="F280" ca="1">+_xludf.IFS(E280="50% teletrabajo",0.5, E280="25% teletrabajo",0.75,E280="75% teletrabajo",0.25,E280="100% teletrabajo",0,E280="100% trabajo presencial",1)</f>
        <v>#NAME?</v>
      </c>
      <c r="G280" s="1310" t="s">
        <v>1952</v>
      </c>
      <c r="H280" s="1310" t="e">
        <f t="array" aca="1" ref="H280" ca="1">+_xludf.IFS(G280="Vehículo - Uso individual","Auto",G280="Vehículo - Uso compartido","Auto",G280="Transporte público","Bus",G280="Moto","Moto",G280="Bicicleta o caminando","Bicicleta")</f>
        <v>#NAME?</v>
      </c>
      <c r="I280" s="1310">
        <v>1</v>
      </c>
      <c r="J280" s="1310">
        <v>35</v>
      </c>
      <c r="K280" s="1312" t="e">
        <f t="shared" ca="1" si="7"/>
        <v>#NAME?</v>
      </c>
      <c r="L280" s="1315" t="e">
        <f ca="1">+K280*I280*VLOOKUP(H280,'Factores Emisión EDGE'!$K$267:$L$272,2,FALSE)/1000</f>
        <v>#NAME?</v>
      </c>
    </row>
    <row r="281" spans="1:12">
      <c r="A281" s="1314">
        <v>44650.479122951394</v>
      </c>
      <c r="B281" s="1310" t="s">
        <v>2507</v>
      </c>
      <c r="C281" s="1310" t="s">
        <v>2508</v>
      </c>
      <c r="D281" s="1310" t="s">
        <v>1951</v>
      </c>
      <c r="E281" s="1310" t="s">
        <v>868</v>
      </c>
      <c r="F281" s="1310" t="e">
        <f t="array" aca="1" ref="F281" ca="1">+_xludf.IFS(E281="50% teletrabajo",0.5, E281="25% teletrabajo",0.75,E281="75% teletrabajo",0.25,E281="100% teletrabajo",0,E281="100% trabajo presencial",1)</f>
        <v>#NAME?</v>
      </c>
      <c r="G281" s="1310" t="s">
        <v>1964</v>
      </c>
      <c r="H281" s="1310" t="e">
        <f t="array" aca="1" ref="H281" ca="1">+_xludf.IFS(G281="Vehículo - Uso individual","Auto",G281="Vehículo - Uso compartido","Auto",G281="Transporte público","Bus",G281="Moto","Moto",G281="Bicicleta o caminando","Bicicleta")</f>
        <v>#NAME?</v>
      </c>
      <c r="I281" s="1310">
        <v>1</v>
      </c>
      <c r="J281" s="1310"/>
      <c r="K281" s="1312" t="e">
        <f t="shared" ca="1" si="7"/>
        <v>#NAME?</v>
      </c>
      <c r="L281" s="1315" t="e">
        <f ca="1">+K281*I281*VLOOKUP(H281,'Factores Emisión EDGE'!$K$267:$L$272,2,FALSE)/1000</f>
        <v>#NAME?</v>
      </c>
    </row>
    <row r="282" spans="1:12">
      <c r="A282" s="1314">
        <v>44650.480240624995</v>
      </c>
      <c r="B282" s="1310" t="s">
        <v>2507</v>
      </c>
      <c r="C282" s="1310" t="s">
        <v>2508</v>
      </c>
      <c r="D282" s="1310" t="s">
        <v>1951</v>
      </c>
      <c r="E282" s="1310" t="s">
        <v>868</v>
      </c>
      <c r="F282" s="1310" t="e">
        <f t="array" aca="1" ref="F282" ca="1">+_xludf.IFS(E282="50% teletrabajo",0.5, E282="25% teletrabajo",0.75,E282="75% teletrabajo",0.25,E282="100% teletrabajo",0,E282="100% trabajo presencial",1)</f>
        <v>#NAME?</v>
      </c>
      <c r="G282" s="1310" t="s">
        <v>1964</v>
      </c>
      <c r="H282" s="1310" t="e">
        <f t="array" aca="1" ref="H282" ca="1">+_xludf.IFS(G282="Vehículo - Uso individual","Auto",G282="Vehículo - Uso compartido","Auto",G282="Transporte público","Bus",G282="Moto","Moto",G282="Bicicleta o caminando","Bicicleta")</f>
        <v>#NAME?</v>
      </c>
      <c r="I282" s="1310">
        <v>1</v>
      </c>
      <c r="J282" s="1310">
        <v>2.7</v>
      </c>
      <c r="K282" s="1312" t="e">
        <f t="shared" ca="1" si="7"/>
        <v>#NAME?</v>
      </c>
      <c r="L282" s="1315" t="e">
        <f ca="1">+K282*I282*VLOOKUP(H282,'Factores Emisión EDGE'!$K$267:$L$272,2,FALSE)/1000</f>
        <v>#NAME?</v>
      </c>
    </row>
    <row r="283" spans="1:12">
      <c r="A283" s="1314">
        <v>44650.48105480324</v>
      </c>
      <c r="B283" s="1312"/>
      <c r="C283" s="1310" t="s">
        <v>2509</v>
      </c>
      <c r="D283" s="1310" t="s">
        <v>1951</v>
      </c>
      <c r="E283" s="1310" t="s">
        <v>1960</v>
      </c>
      <c r="F283" s="1310" t="e">
        <f t="array" aca="1" ref="F283" ca="1">+_xludf.IFS(E283="50% teletrabajo",0.5, E283="25% teletrabajo",0.75,E283="75% teletrabajo",0.25,E283="100% teletrabajo",0,E283="100% trabajo presencial",1)</f>
        <v>#NAME?</v>
      </c>
      <c r="G283" s="1310" t="s">
        <v>2356</v>
      </c>
      <c r="H283" s="1310" t="e">
        <f t="array" aca="1" ref="H283" ca="1">+_xludf.IFS(G283="Vehículo - Uso individual","Auto",G283="Vehículo - Uso compartido","Auto",G283="Transporte público","Bus",G283="Moto","Moto",G283="Bicicleta o caminando","Bicicleta")</f>
        <v>#NAME?</v>
      </c>
      <c r="I283" s="1310">
        <v>1</v>
      </c>
      <c r="J283" s="1310">
        <v>21.1</v>
      </c>
      <c r="K283" s="1312" t="e">
        <f t="shared" ca="1" si="7"/>
        <v>#NAME?</v>
      </c>
      <c r="L283" s="1315"/>
    </row>
    <row r="284" spans="1:12">
      <c r="A284" s="1314">
        <v>44650.482916678244</v>
      </c>
      <c r="B284" s="1310" t="s">
        <v>2510</v>
      </c>
      <c r="C284" s="1310" t="s">
        <v>2511</v>
      </c>
      <c r="D284" s="1310" t="s">
        <v>1951</v>
      </c>
      <c r="E284" s="1310" t="s">
        <v>868</v>
      </c>
      <c r="F284" s="1310" t="e">
        <f t="array" aca="1" ref="F284" ca="1">+_xludf.IFS(E284="50% teletrabajo",0.5, E284="25% teletrabajo",0.75,E284="75% teletrabajo",0.25,E284="100% teletrabajo",0,E284="100% trabajo presencial",1)</f>
        <v>#NAME?</v>
      </c>
      <c r="G284" s="1310" t="s">
        <v>1952</v>
      </c>
      <c r="H284" s="1310" t="e">
        <f t="array" aca="1" ref="H284" ca="1">+_xludf.IFS(G284="Vehículo - Uso individual","Auto",G284="Vehículo - Uso compartido","Auto",G284="Transporte público","Bus",G284="Moto","Moto",G284="Bicicleta o caminando","Bicicleta")</f>
        <v>#NAME?</v>
      </c>
      <c r="I284" s="1310">
        <v>1</v>
      </c>
      <c r="J284" s="1310">
        <v>26</v>
      </c>
      <c r="K284" s="1312" t="e">
        <f t="shared" ca="1" si="7"/>
        <v>#NAME?</v>
      </c>
      <c r="L284" s="1315" t="e">
        <f ca="1">+K284*I284*VLOOKUP(H284,'Factores Emisión EDGE'!$K$267:$L$272,2,FALSE)/1000</f>
        <v>#NAME?</v>
      </c>
    </row>
    <row r="285" spans="1:12">
      <c r="A285" s="1314">
        <v>44650.483711469904</v>
      </c>
      <c r="B285" s="1310" t="s">
        <v>2512</v>
      </c>
      <c r="C285" s="1310" t="s">
        <v>2513</v>
      </c>
      <c r="D285" s="1310" t="s">
        <v>1951</v>
      </c>
      <c r="E285" s="1310" t="s">
        <v>868</v>
      </c>
      <c r="F285" s="1310" t="e">
        <f t="array" aca="1" ref="F285" ca="1">+_xludf.IFS(E285="50% teletrabajo",0.5, E285="25% teletrabajo",0.75,E285="75% teletrabajo",0.25,E285="100% teletrabajo",0,E285="100% trabajo presencial",1)</f>
        <v>#NAME?</v>
      </c>
      <c r="G285" s="1310" t="s">
        <v>1964</v>
      </c>
      <c r="H285" s="1310" t="e">
        <f t="array" aca="1" ref="H285" ca="1">+_xludf.IFS(G285="Vehículo - Uso individual","Auto",G285="Vehículo - Uso compartido","Auto",G285="Transporte público","Bus",G285="Moto","Moto",G285="Bicicleta o caminando","Bicicleta")</f>
        <v>#NAME?</v>
      </c>
      <c r="I285" s="1310">
        <v>1</v>
      </c>
      <c r="J285" s="1310">
        <v>1</v>
      </c>
      <c r="K285" s="1312" t="e">
        <f t="shared" ca="1" si="7"/>
        <v>#NAME?</v>
      </c>
      <c r="L285" s="1315" t="e">
        <f ca="1">+K285*I285*VLOOKUP(H285,'Factores Emisión EDGE'!$K$267:$L$272,2,FALSE)/1000</f>
        <v>#NAME?</v>
      </c>
    </row>
    <row r="286" spans="1:12">
      <c r="A286" s="1314">
        <v>44650.484933888889</v>
      </c>
      <c r="B286" s="1310" t="s">
        <v>2514</v>
      </c>
      <c r="C286" s="1310">
        <v>271164262</v>
      </c>
      <c r="D286" s="1310" t="s">
        <v>1951</v>
      </c>
      <c r="E286" s="1310" t="s">
        <v>1955</v>
      </c>
      <c r="F286" s="1310" t="e">
        <f t="array" aca="1" ref="F286" ca="1">+_xludf.IFS(E286="50% teletrabajo",0.5, E286="25% teletrabajo",0.75,E286="75% teletrabajo",0.25,E286="100% teletrabajo",0,E286="100% trabajo presencial",1)</f>
        <v>#NAME?</v>
      </c>
      <c r="G286" s="1310" t="s">
        <v>1964</v>
      </c>
      <c r="H286" s="1310" t="e">
        <f t="array" aca="1" ref="H286" ca="1">+_xludf.IFS(G286="Vehículo - Uso individual","Auto",G286="Vehículo - Uso compartido","Auto",G286="Transporte público","Bus",G286="Moto","Moto",G286="Bicicleta o caminando","Bicicleta")</f>
        <v>#NAME?</v>
      </c>
      <c r="I286" s="1310">
        <v>1</v>
      </c>
      <c r="J286" s="1310">
        <v>5</v>
      </c>
      <c r="K286" s="1312" t="e">
        <f t="shared" ca="1" si="7"/>
        <v>#NAME?</v>
      </c>
      <c r="L286" s="1315" t="e">
        <f ca="1">+K286*I286*VLOOKUP(H286,'Factores Emisión EDGE'!$K$267:$L$272,2,FALSE)/1000</f>
        <v>#NAME?</v>
      </c>
    </row>
    <row r="287" spans="1:12">
      <c r="A287" s="1314">
        <v>44650.48630532407</v>
      </c>
      <c r="B287" s="1310" t="s">
        <v>2515</v>
      </c>
      <c r="C287" s="1310" t="s">
        <v>2516</v>
      </c>
      <c r="D287" s="1310" t="s">
        <v>1951</v>
      </c>
      <c r="E287" s="1310" t="s">
        <v>868</v>
      </c>
      <c r="F287" s="1310" t="e">
        <f t="array" aca="1" ref="F287" ca="1">+_xludf.IFS(E287="50% teletrabajo",0.5, E287="25% teletrabajo",0.75,E287="75% teletrabajo",0.25,E287="100% teletrabajo",0,E287="100% trabajo presencial",1)</f>
        <v>#NAME?</v>
      </c>
      <c r="G287" s="1310" t="s">
        <v>1964</v>
      </c>
      <c r="H287" s="1310" t="e">
        <f t="array" aca="1" ref="H287" ca="1">+_xludf.IFS(G287="Vehículo - Uso individual","Auto",G287="Vehículo - Uso compartido","Auto",G287="Transporte público","Bus",G287="Moto","Moto",G287="Bicicleta o caminando","Bicicleta")</f>
        <v>#NAME?</v>
      </c>
      <c r="I287" s="1310">
        <v>1</v>
      </c>
      <c r="J287" s="1312"/>
      <c r="K287" s="1312" t="e">
        <f t="shared" ca="1" si="7"/>
        <v>#NAME?</v>
      </c>
      <c r="L287" s="1315" t="e">
        <f ca="1">+K287*I287*VLOOKUP(H287,'Factores Emisión EDGE'!$K$267:$L$272,2,FALSE)/1000</f>
        <v>#NAME?</v>
      </c>
    </row>
    <row r="288" spans="1:12">
      <c r="A288" s="1314">
        <v>44650.48763581019</v>
      </c>
      <c r="B288" s="1310" t="s">
        <v>2517</v>
      </c>
      <c r="C288" s="1310" t="s">
        <v>2518</v>
      </c>
      <c r="D288" s="1310" t="s">
        <v>1951</v>
      </c>
      <c r="E288" s="1310" t="s">
        <v>868</v>
      </c>
      <c r="F288" s="1310" t="e">
        <f t="array" aca="1" ref="F288" ca="1">+_xludf.IFS(E288="50% teletrabajo",0.5, E288="25% teletrabajo",0.75,E288="75% teletrabajo",0.25,E288="100% teletrabajo",0,E288="100% trabajo presencial",1)</f>
        <v>#NAME?</v>
      </c>
      <c r="G288" s="1310" t="s">
        <v>1952</v>
      </c>
      <c r="H288" s="1310" t="e">
        <f t="array" aca="1" ref="H288" ca="1">+_xludf.IFS(G288="Vehículo - Uso individual","Auto",G288="Vehículo - Uso compartido","Auto",G288="Transporte público","Bus",G288="Moto","Moto",G288="Bicicleta o caminando","Bicicleta")</f>
        <v>#NAME?</v>
      </c>
      <c r="I288" s="1310">
        <v>1</v>
      </c>
      <c r="J288" s="1310">
        <v>4.0999999999999996</v>
      </c>
      <c r="K288" s="1312" t="e">
        <f t="shared" ca="1" si="7"/>
        <v>#NAME?</v>
      </c>
      <c r="L288" s="1315" t="e">
        <f ca="1">+K288*I288*VLOOKUP(H288,'Factores Emisión EDGE'!$K$267:$L$272,2,FALSE)/1000</f>
        <v>#NAME?</v>
      </c>
    </row>
    <row r="289" spans="1:12">
      <c r="A289" s="1314">
        <v>44650.490251712967</v>
      </c>
      <c r="B289" s="1310" t="s">
        <v>2519</v>
      </c>
      <c r="C289" s="1310" t="s">
        <v>2520</v>
      </c>
      <c r="D289" s="1310" t="s">
        <v>1951</v>
      </c>
      <c r="E289" s="1310" t="s">
        <v>1965</v>
      </c>
      <c r="F289" s="1310" t="e">
        <f t="array" aca="1" ref="F289" ca="1">+_xludf.IFS(E289="50% teletrabajo",0.5, E289="25% teletrabajo",0.75,E289="75% teletrabajo",0.25,E289="100% teletrabajo",0,E289="100% trabajo presencial",1)</f>
        <v>#NAME?</v>
      </c>
      <c r="G289" s="1310" t="s">
        <v>1995</v>
      </c>
      <c r="H289" s="1310" t="e">
        <f t="array" aca="1" ref="H289" ca="1">+_xludf.IFS(G289="Vehículo - Uso individual","Auto",G289="Vehículo - Uso compartido","Auto",G289="Transporte público","Bus",G289="Moto","Moto",G289="Bicicleta o caminando","Bicicleta")</f>
        <v>#NAME?</v>
      </c>
      <c r="I289" s="1310">
        <v>0.25</v>
      </c>
      <c r="J289" s="1310">
        <v>120</v>
      </c>
      <c r="K289" s="1312" t="e">
        <f t="shared" ca="1" si="7"/>
        <v>#NAME?</v>
      </c>
      <c r="L289" s="1315" t="e">
        <f ca="1">+K289*I289*VLOOKUP(H289,'Factores Emisión EDGE'!$K$267:$L$272,2,FALSE)/1000</f>
        <v>#NAME?</v>
      </c>
    </row>
    <row r="290" spans="1:12">
      <c r="A290" s="1314">
        <v>44650.491512002314</v>
      </c>
      <c r="B290" s="1310" t="s">
        <v>2521</v>
      </c>
      <c r="C290" s="1310" t="s">
        <v>2522</v>
      </c>
      <c r="D290" s="1310" t="s">
        <v>1951</v>
      </c>
      <c r="E290" s="1310" t="s">
        <v>1965</v>
      </c>
      <c r="F290" s="1310" t="e">
        <f t="array" aca="1" ref="F290" ca="1">+_xludf.IFS(E290="50% teletrabajo",0.5, E290="25% teletrabajo",0.75,E290="75% teletrabajo",0.25,E290="100% teletrabajo",0,E290="100% trabajo presencial",1)</f>
        <v>#NAME?</v>
      </c>
      <c r="G290" s="1310" t="s">
        <v>1995</v>
      </c>
      <c r="H290" s="1310" t="e">
        <f t="array" aca="1" ref="H290" ca="1">+_xludf.IFS(G290="Vehículo - Uso individual","Auto",G290="Vehículo - Uso compartido","Auto",G290="Transporte público","Bus",G290="Moto","Moto",G290="Bicicleta o caminando","Bicicleta")</f>
        <v>#NAME?</v>
      </c>
      <c r="I290" s="1310">
        <v>0.25</v>
      </c>
      <c r="J290" s="1310">
        <v>17</v>
      </c>
      <c r="K290" s="1312" t="e">
        <f t="shared" ca="1" si="7"/>
        <v>#NAME?</v>
      </c>
      <c r="L290" s="1315" t="e">
        <f ca="1">+K290*I290*VLOOKUP(H290,'Factores Emisión EDGE'!$K$267:$L$272,2,FALSE)/1000</f>
        <v>#NAME?</v>
      </c>
    </row>
    <row r="291" spans="1:12">
      <c r="A291" s="1314">
        <v>44650.493959398147</v>
      </c>
      <c r="B291" s="1310" t="s">
        <v>2523</v>
      </c>
      <c r="C291" s="1310" t="s">
        <v>2524</v>
      </c>
      <c r="D291" s="1310" t="s">
        <v>1951</v>
      </c>
      <c r="E291" s="1310" t="s">
        <v>868</v>
      </c>
      <c r="F291" s="1310" t="e">
        <f t="array" aca="1" ref="F291" ca="1">+_xludf.IFS(E291="50% teletrabajo",0.5, E291="25% teletrabajo",0.75,E291="75% teletrabajo",0.25,E291="100% teletrabajo",0,E291="100% trabajo presencial",1)</f>
        <v>#NAME?</v>
      </c>
      <c r="G291" s="1310" t="s">
        <v>1964</v>
      </c>
      <c r="H291" s="1310" t="e">
        <f t="array" aca="1" ref="H291" ca="1">+_xludf.IFS(G291="Vehículo - Uso individual","Auto",G291="Vehículo - Uso compartido","Auto",G291="Transporte público","Bus",G291="Moto","Moto",G291="Bicicleta o caminando","Bicicleta")</f>
        <v>#NAME?</v>
      </c>
      <c r="I291" s="1310">
        <v>1</v>
      </c>
      <c r="J291" s="1310">
        <v>35</v>
      </c>
      <c r="K291" s="1312" t="e">
        <f t="shared" ca="1" si="7"/>
        <v>#NAME?</v>
      </c>
      <c r="L291" s="1315" t="e">
        <f ca="1">+K291*I291*VLOOKUP(H291,'Factores Emisión EDGE'!$K$267:$L$272,2,FALSE)/1000</f>
        <v>#NAME?</v>
      </c>
    </row>
    <row r="292" spans="1:12">
      <c r="A292" s="1314">
        <v>44650.498719513889</v>
      </c>
      <c r="B292" s="1310" t="s">
        <v>2525</v>
      </c>
      <c r="C292" s="1310" t="s">
        <v>2526</v>
      </c>
      <c r="D292" s="1310" t="s">
        <v>1951</v>
      </c>
      <c r="E292" s="1310" t="s">
        <v>1960</v>
      </c>
      <c r="F292" s="1310" t="e">
        <f t="array" aca="1" ref="F292" ca="1">+_xludf.IFS(E292="50% teletrabajo",0.5, E292="25% teletrabajo",0.75,E292="75% teletrabajo",0.25,E292="100% teletrabajo",0,E292="100% trabajo presencial",1)</f>
        <v>#NAME?</v>
      </c>
      <c r="G292" s="1310" t="s">
        <v>2356</v>
      </c>
      <c r="H292" s="1310" t="e">
        <f t="array" aca="1" ref="H292" ca="1">+_xludf.IFS(G292="Vehículo - Uso individual","Auto",G292="Vehículo - Uso compartido","Auto",G292="Transporte público","Bus",G292="Moto","Moto",G292="Bicicleta o caminando","Bicicleta")</f>
        <v>#NAME?</v>
      </c>
      <c r="I292" s="1310">
        <v>1</v>
      </c>
      <c r="J292" s="1312"/>
      <c r="K292" s="1312" t="e">
        <f t="shared" ca="1" si="7"/>
        <v>#NAME?</v>
      </c>
      <c r="L292" s="1315"/>
    </row>
    <row r="293" spans="1:12">
      <c r="A293" s="1314">
        <v>44650.499118553242</v>
      </c>
      <c r="B293" s="1310" t="s">
        <v>2527</v>
      </c>
      <c r="C293" s="1310" t="s">
        <v>2528</v>
      </c>
      <c r="D293" s="1310" t="s">
        <v>1951</v>
      </c>
      <c r="E293" s="1310" t="s">
        <v>868</v>
      </c>
      <c r="F293" s="1310" t="e">
        <f t="array" aca="1" ref="F293" ca="1">+_xludf.IFS(E293="50% teletrabajo",0.5, E293="25% teletrabajo",0.75,E293="75% teletrabajo",0.25,E293="100% teletrabajo",0,E293="100% trabajo presencial",1)</f>
        <v>#NAME?</v>
      </c>
      <c r="G293" s="1310" t="s">
        <v>1952</v>
      </c>
      <c r="H293" s="1310" t="e">
        <f t="array" aca="1" ref="H293" ca="1">+_xludf.IFS(G293="Vehículo - Uso individual","Auto",G293="Vehículo - Uso compartido","Auto",G293="Transporte público","Bus",G293="Moto","Moto",G293="Bicicleta o caminando","Bicicleta")</f>
        <v>#NAME?</v>
      </c>
      <c r="I293" s="1310">
        <v>1</v>
      </c>
      <c r="J293" s="1310">
        <v>10</v>
      </c>
      <c r="K293" s="1312" t="e">
        <f t="shared" ca="1" si="7"/>
        <v>#NAME?</v>
      </c>
      <c r="L293" s="1315" t="e">
        <f ca="1">+K293*I293*VLOOKUP(H293,'Factores Emisión EDGE'!$K$267:$L$272,2,FALSE)/1000</f>
        <v>#NAME?</v>
      </c>
    </row>
    <row r="294" spans="1:12">
      <c r="A294" s="1314">
        <v>44650.499823344908</v>
      </c>
      <c r="B294" s="1310" t="s">
        <v>2529</v>
      </c>
      <c r="C294" s="1310" t="s">
        <v>2530</v>
      </c>
      <c r="D294" s="1310" t="s">
        <v>1951</v>
      </c>
      <c r="E294" s="1310" t="s">
        <v>868</v>
      </c>
      <c r="F294" s="1310" t="e">
        <f t="array" aca="1" ref="F294" ca="1">+_xludf.IFS(E294="50% teletrabajo",0.5, E294="25% teletrabajo",0.75,E294="75% teletrabajo",0.25,E294="100% teletrabajo",0,E294="100% trabajo presencial",1)</f>
        <v>#NAME?</v>
      </c>
      <c r="G294" s="1310" t="s">
        <v>1952</v>
      </c>
      <c r="H294" s="1310" t="e">
        <f t="array" aca="1" ref="H294" ca="1">+_xludf.IFS(G294="Vehículo - Uso individual","Auto",G294="Vehículo - Uso compartido","Auto",G294="Transporte público","Bus",G294="Moto","Moto",G294="Bicicleta o caminando","Bicicleta")</f>
        <v>#NAME?</v>
      </c>
      <c r="I294" s="1310">
        <v>1</v>
      </c>
      <c r="J294" s="1310">
        <v>18</v>
      </c>
      <c r="K294" s="1312" t="e">
        <f t="shared" ca="1" si="7"/>
        <v>#NAME?</v>
      </c>
      <c r="L294" s="1315" t="e">
        <f ca="1">+K294*I294*VLOOKUP(H294,'Factores Emisión EDGE'!$K$267:$L$272,2,FALSE)/1000</f>
        <v>#NAME?</v>
      </c>
    </row>
    <row r="295" spans="1:12">
      <c r="A295" s="1314">
        <v>44650.500052465279</v>
      </c>
      <c r="B295" s="1310" t="s">
        <v>2531</v>
      </c>
      <c r="C295" s="1310" t="s">
        <v>2532</v>
      </c>
      <c r="D295" s="1310" t="s">
        <v>1951</v>
      </c>
      <c r="E295" s="1310" t="s">
        <v>868</v>
      </c>
      <c r="F295" s="1310" t="e">
        <f t="array" aca="1" ref="F295" ca="1">+_xludf.IFS(E295="50% teletrabajo",0.5, E295="25% teletrabajo",0.75,E295="75% teletrabajo",0.25,E295="100% teletrabajo",0,E295="100% trabajo presencial",1)</f>
        <v>#NAME?</v>
      </c>
      <c r="G295" s="1310" t="s">
        <v>1952</v>
      </c>
      <c r="H295" s="1310" t="e">
        <f t="array" aca="1" ref="H295" ca="1">+_xludf.IFS(G295="Vehículo - Uso individual","Auto",G295="Vehículo - Uso compartido","Auto",G295="Transporte público","Bus",G295="Moto","Moto",G295="Bicicleta o caminando","Bicicleta")</f>
        <v>#NAME?</v>
      </c>
      <c r="I295" s="1310">
        <v>1</v>
      </c>
      <c r="J295" s="1310">
        <v>5</v>
      </c>
      <c r="K295" s="1312" t="e">
        <f t="shared" ca="1" si="7"/>
        <v>#NAME?</v>
      </c>
      <c r="L295" s="1315" t="e">
        <f ca="1">+K295*I295*VLOOKUP(H295,'Factores Emisión EDGE'!$K$267:$L$272,2,FALSE)/1000</f>
        <v>#NAME?</v>
      </c>
    </row>
    <row r="296" spans="1:12">
      <c r="A296" s="1314">
        <v>44650.500133356487</v>
      </c>
      <c r="B296" s="1310" t="s">
        <v>2533</v>
      </c>
      <c r="C296" s="1310" t="s">
        <v>2534</v>
      </c>
      <c r="D296" s="1310" t="s">
        <v>1951</v>
      </c>
      <c r="E296" s="1310" t="s">
        <v>868</v>
      </c>
      <c r="F296" s="1310" t="e">
        <f t="array" aca="1" ref="F296" ca="1">+_xludf.IFS(E296="50% teletrabajo",0.5, E296="25% teletrabajo",0.75,E296="75% teletrabajo",0.25,E296="100% teletrabajo",0,E296="100% trabajo presencial",1)</f>
        <v>#NAME?</v>
      </c>
      <c r="G296" s="1310" t="s">
        <v>1952</v>
      </c>
      <c r="H296" s="1310" t="e">
        <f t="array" aca="1" ref="H296" ca="1">+_xludf.IFS(G296="Vehículo - Uso individual","Auto",G296="Vehículo - Uso compartido","Auto",G296="Transporte público","Bus",G296="Moto","Moto",G296="Bicicleta o caminando","Bicicleta")</f>
        <v>#NAME?</v>
      </c>
      <c r="I296" s="1310">
        <v>1</v>
      </c>
      <c r="J296" s="1310">
        <v>3</v>
      </c>
      <c r="K296" s="1312" t="e">
        <f t="shared" ca="1" si="7"/>
        <v>#NAME?</v>
      </c>
      <c r="L296" s="1315" t="e">
        <f ca="1">+K296*I296*VLOOKUP(H296,'Factores Emisión EDGE'!$K$267:$L$272,2,FALSE)/1000</f>
        <v>#NAME?</v>
      </c>
    </row>
    <row r="297" spans="1:12">
      <c r="A297" s="1314">
        <v>44650.505876435185</v>
      </c>
      <c r="B297" s="1310" t="s">
        <v>2535</v>
      </c>
      <c r="C297" s="1310" t="s">
        <v>2536</v>
      </c>
      <c r="D297" s="1310" t="s">
        <v>1951</v>
      </c>
      <c r="E297" s="1310" t="s">
        <v>868</v>
      </c>
      <c r="F297" s="1310" t="e">
        <f t="array" aca="1" ref="F297" ca="1">+_xludf.IFS(E297="50% teletrabajo",0.5, E297="25% teletrabajo",0.75,E297="75% teletrabajo",0.25,E297="100% teletrabajo",0,E297="100% trabajo presencial",1)</f>
        <v>#NAME?</v>
      </c>
      <c r="G297" s="1310" t="s">
        <v>1952</v>
      </c>
      <c r="H297" s="1310" t="e">
        <f t="array" aca="1" ref="H297" ca="1">+_xludf.IFS(G297="Vehículo - Uso individual","Auto",G297="Vehículo - Uso compartido","Auto",G297="Transporte público","Bus",G297="Moto","Moto",G297="Bicicleta o caminando","Bicicleta")</f>
        <v>#NAME?</v>
      </c>
      <c r="I297" s="1310">
        <v>1</v>
      </c>
      <c r="J297" s="1310">
        <v>18</v>
      </c>
      <c r="K297" s="1312" t="e">
        <f t="shared" ca="1" si="7"/>
        <v>#NAME?</v>
      </c>
      <c r="L297" s="1315" t="e">
        <f ca="1">+K297*I297*VLOOKUP(H297,'Factores Emisión EDGE'!$K$267:$L$272,2,FALSE)/1000</f>
        <v>#NAME?</v>
      </c>
    </row>
    <row r="298" spans="1:12">
      <c r="A298" s="1314">
        <v>44650.50602075232</v>
      </c>
      <c r="B298" s="1310" t="s">
        <v>2085</v>
      </c>
      <c r="C298" s="1310" t="s">
        <v>2086</v>
      </c>
      <c r="D298" s="1310" t="s">
        <v>1951</v>
      </c>
      <c r="E298" s="1310" t="s">
        <v>1960</v>
      </c>
      <c r="F298" s="1310" t="e">
        <f t="array" aca="1" ref="F298" ca="1">+_xludf.IFS(E298="50% teletrabajo",0.5, E298="25% teletrabajo",0.75,E298="75% teletrabajo",0.25,E298="100% teletrabajo",0,E298="100% trabajo presencial",1)</f>
        <v>#NAME?</v>
      </c>
      <c r="G298" s="1310" t="s">
        <v>1964</v>
      </c>
      <c r="H298" s="1310" t="e">
        <f t="array" aca="1" ref="H298" ca="1">+_xludf.IFS(G298="Vehículo - Uso individual","Auto",G298="Vehículo - Uso compartido","Auto",G298="Transporte público","Bus",G298="Moto","Moto",G298="Bicicleta o caminando","Bicicleta")</f>
        <v>#NAME?</v>
      </c>
      <c r="I298" s="1310">
        <v>1</v>
      </c>
      <c r="J298" s="1310">
        <v>15</v>
      </c>
      <c r="K298" s="1312" t="e">
        <f t="shared" ca="1" si="7"/>
        <v>#NAME?</v>
      </c>
      <c r="L298" s="1315" t="e">
        <f ca="1">+K298*I298*VLOOKUP(H298,'Factores Emisión EDGE'!$K$267:$L$272,2,FALSE)/1000</f>
        <v>#NAME?</v>
      </c>
    </row>
    <row r="299" spans="1:12">
      <c r="A299" s="1314">
        <v>44650.506289340279</v>
      </c>
      <c r="B299" s="1310" t="s">
        <v>2537</v>
      </c>
      <c r="C299" s="1310" t="s">
        <v>2234</v>
      </c>
      <c r="D299" s="1310" t="s">
        <v>1951</v>
      </c>
      <c r="E299" s="1310" t="s">
        <v>868</v>
      </c>
      <c r="F299" s="1310" t="e">
        <f t="array" aca="1" ref="F299" ca="1">+_xludf.IFS(E299="50% teletrabajo",0.5, E299="25% teletrabajo",0.75,E299="75% teletrabajo",0.25,E299="100% teletrabajo",0,E299="100% trabajo presencial",1)</f>
        <v>#NAME?</v>
      </c>
      <c r="G299" s="1310" t="s">
        <v>1952</v>
      </c>
      <c r="H299" s="1310" t="e">
        <f t="array" aca="1" ref="H299" ca="1">+_xludf.IFS(G299="Vehículo - Uso individual","Auto",G299="Vehículo - Uso compartido","Auto",G299="Transporte público","Bus",G299="Moto","Moto",G299="Bicicleta o caminando","Bicicleta")</f>
        <v>#NAME?</v>
      </c>
      <c r="I299" s="1310">
        <v>1</v>
      </c>
      <c r="J299" s="1310">
        <v>15</v>
      </c>
      <c r="K299" s="1312" t="e">
        <f t="shared" ca="1" si="7"/>
        <v>#NAME?</v>
      </c>
      <c r="L299" s="1315" t="e">
        <f ca="1">+K299*I299*VLOOKUP(H299,'Factores Emisión EDGE'!$K$267:$L$272,2,FALSE)/1000</f>
        <v>#NAME?</v>
      </c>
    </row>
    <row r="300" spans="1:12">
      <c r="A300" s="1314">
        <v>44650.506388634254</v>
      </c>
      <c r="B300" s="1310" t="s">
        <v>2538</v>
      </c>
      <c r="C300" s="1310" t="s">
        <v>2135</v>
      </c>
      <c r="D300" s="1310" t="s">
        <v>1951</v>
      </c>
      <c r="E300" s="1310" t="s">
        <v>1960</v>
      </c>
      <c r="F300" s="1310" t="e">
        <f t="array" aca="1" ref="F300" ca="1">+_xludf.IFS(E300="50% teletrabajo",0.5, E300="25% teletrabajo",0.75,E300="75% teletrabajo",0.25,E300="100% teletrabajo",0,E300="100% trabajo presencial",1)</f>
        <v>#NAME?</v>
      </c>
      <c r="G300" s="1310" t="s">
        <v>2356</v>
      </c>
      <c r="H300" s="1310" t="e">
        <f t="array" aca="1" ref="H300" ca="1">+_xludf.IFS(G300="Vehículo - Uso individual","Auto",G300="Vehículo - Uso compartido","Auto",G300="Transporte público","Bus",G300="Moto","Moto",G300="Bicicleta o caminando","Bicicleta")</f>
        <v>#NAME?</v>
      </c>
      <c r="I300" s="1310">
        <v>1</v>
      </c>
      <c r="J300" s="1312"/>
      <c r="K300" s="1312" t="e">
        <f t="shared" ca="1" si="7"/>
        <v>#NAME?</v>
      </c>
      <c r="L300" s="1315"/>
    </row>
    <row r="301" spans="1:12">
      <c r="A301" s="1314">
        <v>44650.506547789351</v>
      </c>
      <c r="B301" s="1310" t="s">
        <v>2539</v>
      </c>
      <c r="C301" s="1310" t="s">
        <v>2161</v>
      </c>
      <c r="D301" s="1310" t="s">
        <v>1951</v>
      </c>
      <c r="E301" s="1310" t="s">
        <v>868</v>
      </c>
      <c r="F301" s="1310" t="e">
        <f t="array" aca="1" ref="F301" ca="1">+_xludf.IFS(E301="50% teletrabajo",0.5, E301="25% teletrabajo",0.75,E301="75% teletrabajo",0.25,E301="100% teletrabajo",0,E301="100% trabajo presencial",1)</f>
        <v>#NAME?</v>
      </c>
      <c r="G301" s="1310" t="s">
        <v>1952</v>
      </c>
      <c r="H301" s="1310" t="e">
        <f t="array" aca="1" ref="H301" ca="1">+_xludf.IFS(G301="Vehículo - Uso individual","Auto",G301="Vehículo - Uso compartido","Auto",G301="Transporte público","Bus",G301="Moto","Moto",G301="Bicicleta o caminando","Bicicleta")</f>
        <v>#NAME?</v>
      </c>
      <c r="I301" s="1310">
        <v>1</v>
      </c>
      <c r="J301" s="1310">
        <v>42</v>
      </c>
      <c r="K301" s="1312" t="e">
        <f t="shared" ca="1" si="7"/>
        <v>#NAME?</v>
      </c>
      <c r="L301" s="1315" t="e">
        <f ca="1">+K301*I301*VLOOKUP(H301,'Factores Emisión EDGE'!$K$267:$L$272,2,FALSE)/1000</f>
        <v>#NAME?</v>
      </c>
    </row>
    <row r="302" spans="1:12">
      <c r="A302" s="1314">
        <v>44650.506771782406</v>
      </c>
      <c r="B302" s="1310" t="s">
        <v>2002</v>
      </c>
      <c r="C302" s="1310" t="s">
        <v>2003</v>
      </c>
      <c r="D302" s="1310" t="s">
        <v>1951</v>
      </c>
      <c r="E302" s="1310" t="s">
        <v>1965</v>
      </c>
      <c r="F302" s="1310" t="e">
        <f t="array" aca="1" ref="F302" ca="1">+_xludf.IFS(E302="50% teletrabajo",0.5, E302="25% teletrabajo",0.75,E302="75% teletrabajo",0.25,E302="100% teletrabajo",0,E302="100% trabajo presencial",1)</f>
        <v>#NAME?</v>
      </c>
      <c r="G302" s="1310" t="s">
        <v>1964</v>
      </c>
      <c r="H302" s="1310" t="e">
        <f t="array" aca="1" ref="H302" ca="1">+_xludf.IFS(G302="Vehículo - Uso individual","Auto",G302="Vehículo - Uso compartido","Auto",G302="Transporte público","Bus",G302="Moto","Moto",G302="Bicicleta o caminando","Bicicleta")</f>
        <v>#NAME?</v>
      </c>
      <c r="I302" s="1310">
        <v>1</v>
      </c>
      <c r="J302" s="1310">
        <v>10</v>
      </c>
      <c r="K302" s="1312" t="e">
        <f t="shared" ca="1" si="7"/>
        <v>#NAME?</v>
      </c>
      <c r="L302" s="1315" t="e">
        <f ca="1">+K302*I302*VLOOKUP(H302,'Factores Emisión EDGE'!$K$267:$L$272,2,FALSE)/1000</f>
        <v>#NAME?</v>
      </c>
    </row>
    <row r="303" spans="1:12">
      <c r="A303" s="1314">
        <v>44650.506946875001</v>
      </c>
      <c r="B303" s="1310" t="s">
        <v>2540</v>
      </c>
      <c r="C303" s="1310" t="s">
        <v>2541</v>
      </c>
      <c r="D303" s="1310" t="s">
        <v>1951</v>
      </c>
      <c r="E303" s="1310" t="s">
        <v>1955</v>
      </c>
      <c r="F303" s="1310" t="e">
        <f t="array" aca="1" ref="F303" ca="1">+_xludf.IFS(E303="50% teletrabajo",0.5, E303="25% teletrabajo",0.75,E303="75% teletrabajo",0.25,E303="100% teletrabajo",0,E303="100% trabajo presencial",1)</f>
        <v>#NAME?</v>
      </c>
      <c r="G303" s="1310" t="s">
        <v>1952</v>
      </c>
      <c r="H303" s="1310" t="e">
        <f t="array" aca="1" ref="H303" ca="1">+_xludf.IFS(G303="Vehículo - Uso individual","Auto",G303="Vehículo - Uso compartido","Auto",G303="Transporte público","Bus",G303="Moto","Moto",G303="Bicicleta o caminando","Bicicleta")</f>
        <v>#NAME?</v>
      </c>
      <c r="I303" s="1310">
        <v>1</v>
      </c>
      <c r="J303" s="1310">
        <v>70</v>
      </c>
      <c r="K303" s="1312" t="e">
        <f t="shared" ca="1" si="7"/>
        <v>#NAME?</v>
      </c>
      <c r="L303" s="1315" t="e">
        <f ca="1">+K303*I303*VLOOKUP(H303,'Factores Emisión EDGE'!$K$267:$L$272,2,FALSE)/1000</f>
        <v>#NAME?</v>
      </c>
    </row>
    <row r="304" spans="1:12">
      <c r="A304" s="1314">
        <v>44650.507083865741</v>
      </c>
      <c r="B304" s="1310" t="s">
        <v>2542</v>
      </c>
      <c r="C304" s="1310" t="s">
        <v>2543</v>
      </c>
      <c r="D304" s="1310" t="s">
        <v>1951</v>
      </c>
      <c r="E304" s="1310" t="s">
        <v>1955</v>
      </c>
      <c r="F304" s="1310" t="e">
        <f t="array" aca="1" ref="F304" ca="1">+_xludf.IFS(E304="50% teletrabajo",0.5, E304="25% teletrabajo",0.75,E304="75% teletrabajo",0.25,E304="100% teletrabajo",0,E304="100% trabajo presencial",1)</f>
        <v>#NAME?</v>
      </c>
      <c r="G304" s="1310" t="s">
        <v>1983</v>
      </c>
      <c r="H304" s="1310" t="e">
        <f t="array" aca="1" ref="H304" ca="1">+_xludf.IFS(G304="Vehículo - Uso individual","Auto",G304="Vehículo - Uso compartido","Auto",G304="Transporte público","Bus",G304="Moto","Moto",G304="Bicicleta o caminando","Bicicleta")</f>
        <v>#NAME?</v>
      </c>
      <c r="I304" s="1310">
        <v>1</v>
      </c>
      <c r="J304" s="1310">
        <v>2</v>
      </c>
      <c r="K304" s="1312" t="e">
        <f t="shared" ca="1" si="7"/>
        <v>#NAME?</v>
      </c>
      <c r="L304" s="1315" t="e">
        <f ca="1">+K304*I304*VLOOKUP(H304,'Factores Emisión EDGE'!$K$267:$L$272,2,FALSE)/1000</f>
        <v>#NAME?</v>
      </c>
    </row>
    <row r="305" spans="1:12">
      <c r="A305" s="1314">
        <v>44650.507169606484</v>
      </c>
      <c r="B305" s="1310" t="s">
        <v>2544</v>
      </c>
      <c r="C305" s="1310" t="s">
        <v>2545</v>
      </c>
      <c r="D305" s="1310" t="s">
        <v>1951</v>
      </c>
      <c r="E305" s="1310" t="s">
        <v>872</v>
      </c>
      <c r="F305" s="1310" t="e">
        <f t="array" aca="1" ref="F305" ca="1">+_xludf.IFS(E305="50% teletrabajo",0.5, E305="25% teletrabajo",0.75,E305="75% teletrabajo",0.25,E305="100% teletrabajo",0,E305="100% trabajo presencial",1)</f>
        <v>#NAME?</v>
      </c>
      <c r="G305" s="1310" t="s">
        <v>1995</v>
      </c>
      <c r="H305" s="1310" t="e">
        <f t="array" aca="1" ref="H305" ca="1">+_xludf.IFS(G305="Vehículo - Uso individual","Auto",G305="Vehículo - Uso compartido","Auto",G305="Transporte público","Bus",G305="Moto","Moto",G305="Bicicleta o caminando","Bicicleta")</f>
        <v>#NAME?</v>
      </c>
      <c r="I305" s="1310">
        <v>0.25</v>
      </c>
      <c r="J305" s="1310">
        <v>5.4</v>
      </c>
      <c r="K305" s="1312" t="e">
        <f t="shared" ca="1" si="7"/>
        <v>#NAME?</v>
      </c>
      <c r="L305" s="1315" t="e">
        <f ca="1">+K305*I305*VLOOKUP(H305,'Factores Emisión EDGE'!$K$267:$L$272,2,FALSE)/1000</f>
        <v>#NAME?</v>
      </c>
    </row>
    <row r="306" spans="1:12">
      <c r="A306" s="1314">
        <v>44650.507212789351</v>
      </c>
      <c r="B306" s="1310" t="s">
        <v>2546</v>
      </c>
      <c r="C306" s="1310" t="s">
        <v>2547</v>
      </c>
      <c r="D306" s="1310" t="s">
        <v>1951</v>
      </c>
      <c r="E306" s="1310" t="s">
        <v>868</v>
      </c>
      <c r="F306" s="1310" t="e">
        <f t="array" aca="1" ref="F306" ca="1">+_xludf.IFS(E306="50% teletrabajo",0.5, E306="25% teletrabajo",0.75,E306="75% teletrabajo",0.25,E306="100% teletrabajo",0,E306="100% trabajo presencial",1)</f>
        <v>#NAME?</v>
      </c>
      <c r="G306" s="1310" t="s">
        <v>1952</v>
      </c>
      <c r="H306" s="1310" t="e">
        <f t="array" aca="1" ref="H306" ca="1">+_xludf.IFS(G306="Vehículo - Uso individual","Auto",G306="Vehículo - Uso compartido","Auto",G306="Transporte público","Bus",G306="Moto","Moto",G306="Bicicleta o caminando","Bicicleta")</f>
        <v>#NAME?</v>
      </c>
      <c r="I306" s="1310">
        <v>1</v>
      </c>
      <c r="J306" s="1310">
        <v>1</v>
      </c>
      <c r="K306" s="1312" t="e">
        <f t="shared" ca="1" si="7"/>
        <v>#NAME?</v>
      </c>
      <c r="L306" s="1315" t="e">
        <f ca="1">+K306*I306*VLOOKUP(H306,'Factores Emisión EDGE'!$K$267:$L$272,2,FALSE)/1000</f>
        <v>#NAME?</v>
      </c>
    </row>
    <row r="307" spans="1:12">
      <c r="A307" s="1314">
        <v>44650.507344004625</v>
      </c>
      <c r="B307" s="1310" t="s">
        <v>2132</v>
      </c>
      <c r="C307" s="1310" t="s">
        <v>2133</v>
      </c>
      <c r="D307" s="1310" t="s">
        <v>1951</v>
      </c>
      <c r="E307" s="1310" t="s">
        <v>1960</v>
      </c>
      <c r="F307" s="1310" t="e">
        <f t="array" aca="1" ref="F307" ca="1">+_xludf.IFS(E307="50% teletrabajo",0.5, E307="25% teletrabajo",0.75,E307="75% teletrabajo",0.25,E307="100% teletrabajo",0,E307="100% trabajo presencial",1)</f>
        <v>#NAME?</v>
      </c>
      <c r="G307" s="1310" t="s">
        <v>2356</v>
      </c>
      <c r="H307" s="1310" t="e">
        <f t="array" aca="1" ref="H307" ca="1">+_xludf.IFS(G307="Vehículo - Uso individual","Auto",G307="Vehículo - Uso compartido","Auto",G307="Transporte público","Bus",G307="Moto","Moto",G307="Bicicleta o caminando","Bicicleta")</f>
        <v>#NAME?</v>
      </c>
      <c r="I307" s="1310">
        <v>1</v>
      </c>
      <c r="J307" s="1312"/>
      <c r="K307" s="1312" t="e">
        <f t="shared" ca="1" si="7"/>
        <v>#NAME?</v>
      </c>
      <c r="L307" s="1315"/>
    </row>
    <row r="308" spans="1:12">
      <c r="A308" s="1314">
        <v>44650.507439930559</v>
      </c>
      <c r="B308" s="1310" t="s">
        <v>2548</v>
      </c>
      <c r="C308" s="1310" t="s">
        <v>2549</v>
      </c>
      <c r="D308" s="1310" t="s">
        <v>1951</v>
      </c>
      <c r="E308" s="1310" t="s">
        <v>868</v>
      </c>
      <c r="F308" s="1310" t="e">
        <f t="array" aca="1" ref="F308" ca="1">+_xludf.IFS(E308="50% teletrabajo",0.5, E308="25% teletrabajo",0.75,E308="75% teletrabajo",0.25,E308="100% teletrabajo",0,E308="100% trabajo presencial",1)</f>
        <v>#NAME?</v>
      </c>
      <c r="G308" s="1310" t="s">
        <v>1952</v>
      </c>
      <c r="H308" s="1310" t="e">
        <f t="array" aca="1" ref="H308" ca="1">+_xludf.IFS(G308="Vehículo - Uso individual","Auto",G308="Vehículo - Uso compartido","Auto",G308="Transporte público","Bus",G308="Moto","Moto",G308="Bicicleta o caminando","Bicicleta")</f>
        <v>#NAME?</v>
      </c>
      <c r="I308" s="1310">
        <v>1</v>
      </c>
      <c r="J308" s="1310">
        <v>12.9</v>
      </c>
      <c r="K308" s="1312" t="e">
        <f t="shared" ca="1" si="7"/>
        <v>#NAME?</v>
      </c>
      <c r="L308" s="1315" t="e">
        <f ca="1">+K308*I308*VLOOKUP(H308,'Factores Emisión EDGE'!$K$267:$L$272,2,FALSE)/1000</f>
        <v>#NAME?</v>
      </c>
    </row>
    <row r="309" spans="1:12">
      <c r="A309" s="1314">
        <v>44650.507854988427</v>
      </c>
      <c r="B309" s="1310" t="s">
        <v>2550</v>
      </c>
      <c r="C309" s="1310" t="s">
        <v>2551</v>
      </c>
      <c r="D309" s="1310" t="s">
        <v>1951</v>
      </c>
      <c r="E309" s="1310" t="s">
        <v>1965</v>
      </c>
      <c r="F309" s="1310" t="e">
        <f t="array" aca="1" ref="F309" ca="1">+_xludf.IFS(E309="50% teletrabajo",0.5, E309="25% teletrabajo",0.75,E309="75% teletrabajo",0.25,E309="100% teletrabajo",0,E309="100% trabajo presencial",1)</f>
        <v>#NAME?</v>
      </c>
      <c r="G309" s="1310" t="s">
        <v>1952</v>
      </c>
      <c r="H309" s="1310" t="e">
        <f t="array" aca="1" ref="H309" ca="1">+_xludf.IFS(G309="Vehículo - Uso individual","Auto",G309="Vehículo - Uso compartido","Auto",G309="Transporte público","Bus",G309="Moto","Moto",G309="Bicicleta o caminando","Bicicleta")</f>
        <v>#NAME?</v>
      </c>
      <c r="I309" s="1310">
        <v>1</v>
      </c>
      <c r="J309" s="1310">
        <v>15</v>
      </c>
      <c r="K309" s="1312" t="e">
        <f t="shared" ca="1" si="7"/>
        <v>#NAME?</v>
      </c>
      <c r="L309" s="1315" t="e">
        <f ca="1">+K309*I309*VLOOKUP(H309,'Factores Emisión EDGE'!$K$267:$L$272,2,FALSE)/1000</f>
        <v>#NAME?</v>
      </c>
    </row>
    <row r="310" spans="1:12">
      <c r="A310" s="1314">
        <v>44650.507886840278</v>
      </c>
      <c r="B310" s="1310" t="s">
        <v>2552</v>
      </c>
      <c r="C310" s="1310" t="s">
        <v>2553</v>
      </c>
      <c r="D310" s="1310" t="s">
        <v>1951</v>
      </c>
      <c r="E310" s="1310" t="s">
        <v>868</v>
      </c>
      <c r="F310" s="1310" t="e">
        <f t="array" aca="1" ref="F310" ca="1">+_xludf.IFS(E310="50% teletrabajo",0.5, E310="25% teletrabajo",0.75,E310="75% teletrabajo",0.25,E310="100% teletrabajo",0,E310="100% trabajo presencial",1)</f>
        <v>#NAME?</v>
      </c>
      <c r="G310" s="1310" t="s">
        <v>1952</v>
      </c>
      <c r="H310" s="1310" t="e">
        <f t="array" aca="1" ref="H310" ca="1">+_xludf.IFS(G310="Vehículo - Uso individual","Auto",G310="Vehículo - Uso compartido","Auto",G310="Transporte público","Bus",G310="Moto","Moto",G310="Bicicleta o caminando","Bicicleta")</f>
        <v>#NAME?</v>
      </c>
      <c r="I310" s="1310">
        <v>1</v>
      </c>
      <c r="J310" s="1310">
        <v>30</v>
      </c>
      <c r="K310" s="1312" t="e">
        <f t="shared" ca="1" si="7"/>
        <v>#NAME?</v>
      </c>
      <c r="L310" s="1315" t="e">
        <f ca="1">+K310*I310*VLOOKUP(H310,'Factores Emisión EDGE'!$K$267:$L$272,2,FALSE)/1000</f>
        <v>#NAME?</v>
      </c>
    </row>
    <row r="311" spans="1:12">
      <c r="A311" s="1314">
        <v>44650.508082986111</v>
      </c>
      <c r="B311" s="1310" t="s">
        <v>2554</v>
      </c>
      <c r="C311" s="1310" t="s">
        <v>2555</v>
      </c>
      <c r="D311" s="1310" t="s">
        <v>1951</v>
      </c>
      <c r="E311" s="1310" t="s">
        <v>1960</v>
      </c>
      <c r="F311" s="1310" t="e">
        <f t="array" aca="1" ref="F311" ca="1">+_xludf.IFS(E311="50% teletrabajo",0.5, E311="25% teletrabajo",0.75,E311="75% teletrabajo",0.25,E311="100% teletrabajo",0,E311="100% trabajo presencial",1)</f>
        <v>#NAME?</v>
      </c>
      <c r="G311" s="1310" t="s">
        <v>2356</v>
      </c>
      <c r="H311" s="1310" t="e">
        <f t="array" aca="1" ref="H311" ca="1">+_xludf.IFS(G311="Vehículo - Uso individual","Auto",G311="Vehículo - Uso compartido","Auto",G311="Transporte público","Bus",G311="Moto","Moto",G311="Bicicleta o caminando","Bicicleta")</f>
        <v>#NAME?</v>
      </c>
      <c r="I311" s="1310">
        <v>1</v>
      </c>
      <c r="J311" s="1312"/>
      <c r="K311" s="1312" t="e">
        <f t="shared" ca="1" si="7"/>
        <v>#NAME?</v>
      </c>
      <c r="L311" s="1315"/>
    </row>
    <row r="312" spans="1:12">
      <c r="A312" s="1314">
        <v>44650.508289537036</v>
      </c>
      <c r="B312" s="1310" t="s">
        <v>2542</v>
      </c>
      <c r="C312" s="1310" t="s">
        <v>2543</v>
      </c>
      <c r="D312" s="1310" t="s">
        <v>1951</v>
      </c>
      <c r="E312" s="1310" t="s">
        <v>1955</v>
      </c>
      <c r="F312" s="1310" t="e">
        <f t="array" aca="1" ref="F312" ca="1">+_xludf.IFS(E312="50% teletrabajo",0.5, E312="25% teletrabajo",0.75,E312="75% teletrabajo",0.25,E312="100% teletrabajo",0,E312="100% trabajo presencial",1)</f>
        <v>#NAME?</v>
      </c>
      <c r="G312" s="1310" t="s">
        <v>1983</v>
      </c>
      <c r="H312" s="1310" t="e">
        <f t="array" aca="1" ref="H312" ca="1">+_xludf.IFS(G312="Vehículo - Uso individual","Auto",G312="Vehículo - Uso compartido","Auto",G312="Transporte público","Bus",G312="Moto","Moto",G312="Bicicleta o caminando","Bicicleta")</f>
        <v>#NAME?</v>
      </c>
      <c r="I312" s="1310">
        <v>1</v>
      </c>
      <c r="J312" s="1310">
        <v>2</v>
      </c>
      <c r="K312" s="1312" t="e">
        <f t="shared" ca="1" si="7"/>
        <v>#NAME?</v>
      </c>
      <c r="L312" s="1315" t="e">
        <f ca="1">+K312*I312*VLOOKUP(H312,'Factores Emisión EDGE'!$K$267:$L$272,2,FALSE)/1000</f>
        <v>#NAME?</v>
      </c>
    </row>
    <row r="313" spans="1:12">
      <c r="A313" s="1314">
        <v>44650.508397187499</v>
      </c>
      <c r="B313" s="1310" t="s">
        <v>2556</v>
      </c>
      <c r="C313" s="1310" t="s">
        <v>2139</v>
      </c>
      <c r="D313" s="1310" t="s">
        <v>1951</v>
      </c>
      <c r="E313" s="1310" t="s">
        <v>868</v>
      </c>
      <c r="F313" s="1310" t="e">
        <f t="array" aca="1" ref="F313" ca="1">+_xludf.IFS(E313="50% teletrabajo",0.5, E313="25% teletrabajo",0.75,E313="75% teletrabajo",0.25,E313="100% teletrabajo",0,E313="100% trabajo presencial",1)</f>
        <v>#NAME?</v>
      </c>
      <c r="G313" s="1310" t="s">
        <v>1964</v>
      </c>
      <c r="H313" s="1310" t="e">
        <f t="array" aca="1" ref="H313" ca="1">+_xludf.IFS(G313="Vehículo - Uso individual","Auto",G313="Vehículo - Uso compartido","Auto",G313="Transporte público","Bus",G313="Moto","Moto",G313="Bicicleta o caminando","Bicicleta")</f>
        <v>#NAME?</v>
      </c>
      <c r="I313" s="1310">
        <v>1</v>
      </c>
      <c r="J313" s="1319">
        <v>7824</v>
      </c>
      <c r="K313" s="1312" t="e">
        <f t="shared" ref="K313:K315" ca="1" si="8">+J313*F313</f>
        <v>#NAME?</v>
      </c>
      <c r="L313" s="1315" t="e">
        <f ca="1">+K313*I313*VLOOKUP(H313,'Factores Emisión EDGE'!$K$267:$L$272,2,FALSE)/1000</f>
        <v>#NAME?</v>
      </c>
    </row>
    <row r="314" spans="1:12">
      <c r="A314" s="1314">
        <v>44650.508406400462</v>
      </c>
      <c r="B314" s="1310" t="s">
        <v>2557</v>
      </c>
      <c r="C314" s="1310" t="s">
        <v>2558</v>
      </c>
      <c r="D314" s="1310" t="s">
        <v>1951</v>
      </c>
      <c r="E314" s="1310" t="s">
        <v>1965</v>
      </c>
      <c r="F314" s="1310" t="e">
        <f t="array" aca="1" ref="F314" ca="1">+_xludf.IFS(E314="50% teletrabajo",0.5, E314="25% teletrabajo",0.75,E314="75% teletrabajo",0.25,E314="100% teletrabajo",0,E314="100% trabajo presencial",1)</f>
        <v>#NAME?</v>
      </c>
      <c r="G314" s="1310" t="s">
        <v>1952</v>
      </c>
      <c r="H314" s="1310" t="e">
        <f t="array" aca="1" ref="H314" ca="1">+_xludf.IFS(G314="Vehículo - Uso individual","Auto",G314="Vehículo - Uso compartido","Auto",G314="Transporte público","Bus",G314="Moto","Moto",G314="Bicicleta o caminando","Bicicleta")</f>
        <v>#NAME?</v>
      </c>
      <c r="I314" s="1310">
        <v>1</v>
      </c>
      <c r="J314" s="1319">
        <v>1500</v>
      </c>
      <c r="K314" s="1312" t="e">
        <f t="shared" ca="1" si="8"/>
        <v>#NAME?</v>
      </c>
      <c r="L314" s="1315" t="e">
        <f ca="1">+K314*I314*VLOOKUP(H314,'Factores Emisión EDGE'!$K$267:$L$272,2,FALSE)/1000</f>
        <v>#NAME?</v>
      </c>
    </row>
    <row r="315" spans="1:12">
      <c r="A315" s="1314">
        <v>44650.50846967593</v>
      </c>
      <c r="B315" s="1310" t="s">
        <v>2042</v>
      </c>
      <c r="C315" s="1310" t="s">
        <v>2043</v>
      </c>
      <c r="D315" s="1310" t="s">
        <v>1951</v>
      </c>
      <c r="E315" s="1310" t="s">
        <v>1955</v>
      </c>
      <c r="F315" s="1310" t="e">
        <f t="array" aca="1" ref="F315" ca="1">+_xludf.IFS(E315="50% teletrabajo",0.5, E315="25% teletrabajo",0.75,E315="75% teletrabajo",0.25,E315="100% teletrabajo",0,E315="100% trabajo presencial",1)</f>
        <v>#NAME?</v>
      </c>
      <c r="G315" s="1310" t="s">
        <v>1995</v>
      </c>
      <c r="H315" s="1310" t="e">
        <f t="array" aca="1" ref="H315" ca="1">+_xludf.IFS(G315="Vehículo - Uso individual","Auto",G315="Vehículo - Uso compartido","Auto",G315="Transporte público","Bus",G315="Moto","Moto",G315="Bicicleta o caminando","Bicicleta")</f>
        <v>#NAME?</v>
      </c>
      <c r="I315" s="1310">
        <v>0.25</v>
      </c>
      <c r="J315" s="1319">
        <v>6720</v>
      </c>
      <c r="K315" s="1312" t="e">
        <f t="shared" ca="1" si="8"/>
        <v>#NAME?</v>
      </c>
      <c r="L315" s="1315" t="e">
        <f ca="1">+K315*I315*VLOOKUP(H315,'Factores Emisión EDGE'!$K$267:$L$272,2,FALSE)/1000</f>
        <v>#NAME?</v>
      </c>
    </row>
    <row r="316" spans="1:12">
      <c r="A316" s="1314">
        <v>44650.508528993058</v>
      </c>
      <c r="B316" s="1310" t="s">
        <v>2559</v>
      </c>
      <c r="C316" s="1310" t="s">
        <v>2560</v>
      </c>
      <c r="D316" s="1310" t="s">
        <v>1951</v>
      </c>
      <c r="E316" s="1310" t="s">
        <v>868</v>
      </c>
      <c r="F316" s="1310" t="e">
        <f t="array" aca="1" ref="F316" ca="1">+_xludf.IFS(E316="50% teletrabajo",0.5, E316="25% teletrabajo",0.75,E316="75% teletrabajo",0.25,E316="100% teletrabajo",0,E316="100% trabajo presencial",1)</f>
        <v>#NAME?</v>
      </c>
      <c r="G316" s="1310" t="s">
        <v>1952</v>
      </c>
      <c r="H316" s="1310" t="e">
        <f t="array" aca="1" ref="H316" ca="1">+_xludf.IFS(G316="Vehículo - Uso individual","Auto",G316="Vehículo - Uso compartido","Auto",G316="Transporte público","Bus",G316="Moto","Moto",G316="Bicicleta o caminando","Bicicleta")</f>
        <v>#NAME?</v>
      </c>
      <c r="I316" s="1310">
        <v>1</v>
      </c>
      <c r="J316" s="1312"/>
      <c r="K316" s="1312" t="e">
        <f t="shared" ref="K316:K322" ca="1" si="9">+J316*5*50*2*F316</f>
        <v>#NAME?</v>
      </c>
      <c r="L316" s="1315" t="e">
        <f ca="1">+K316*I316*VLOOKUP(H316,'Factores Emisión EDGE'!$K$267:$L$272,2,FALSE)/1000</f>
        <v>#NAME?</v>
      </c>
    </row>
    <row r="317" spans="1:12">
      <c r="A317" s="1314">
        <v>44650.509266747686</v>
      </c>
      <c r="B317" s="1310" t="s">
        <v>2561</v>
      </c>
      <c r="C317" s="1310" t="s">
        <v>2562</v>
      </c>
      <c r="D317" s="1310" t="s">
        <v>1951</v>
      </c>
      <c r="E317" s="1310" t="s">
        <v>868</v>
      </c>
      <c r="F317" s="1310" t="e">
        <f t="array" aca="1" ref="F317" ca="1">+_xludf.IFS(E317="50% teletrabajo",0.5, E317="25% teletrabajo",0.75,E317="75% teletrabajo",0.25,E317="100% teletrabajo",0,E317="100% trabajo presencial",1)</f>
        <v>#NAME?</v>
      </c>
      <c r="G317" s="1310" t="s">
        <v>1952</v>
      </c>
      <c r="H317" s="1310" t="e">
        <f t="array" aca="1" ref="H317" ca="1">+_xludf.IFS(G317="Vehículo - Uso individual","Auto",G317="Vehículo - Uso compartido","Auto",G317="Transporte público","Bus",G317="Moto","Moto",G317="Bicicleta o caminando","Bicicleta")</f>
        <v>#NAME?</v>
      </c>
      <c r="I317" s="1310">
        <v>1</v>
      </c>
      <c r="J317" s="1310">
        <v>23</v>
      </c>
      <c r="K317" s="1312" t="e">
        <f t="shared" ca="1" si="9"/>
        <v>#NAME?</v>
      </c>
      <c r="L317" s="1315" t="e">
        <f ca="1">+K317*I317*VLOOKUP(H317,'Factores Emisión EDGE'!$K$267:$L$272,2,FALSE)/1000</f>
        <v>#NAME?</v>
      </c>
    </row>
    <row r="318" spans="1:12">
      <c r="A318" s="1314">
        <v>44650.509527025468</v>
      </c>
      <c r="B318" s="1310" t="s">
        <v>2563</v>
      </c>
      <c r="C318" s="1310" t="s">
        <v>2564</v>
      </c>
      <c r="D318" s="1310" t="s">
        <v>1951</v>
      </c>
      <c r="E318" s="1310" t="s">
        <v>868</v>
      </c>
      <c r="F318" s="1310" t="e">
        <f t="array" aca="1" ref="F318" ca="1">+_xludf.IFS(E318="50% teletrabajo",0.5, E318="25% teletrabajo",0.75,E318="75% teletrabajo",0.25,E318="100% teletrabajo",0,E318="100% trabajo presencial",1)</f>
        <v>#NAME?</v>
      </c>
      <c r="G318" s="1310" t="s">
        <v>1964</v>
      </c>
      <c r="H318" s="1310" t="e">
        <f t="array" aca="1" ref="H318" ca="1">+_xludf.IFS(G318="Vehículo - Uso individual","Auto",G318="Vehículo - Uso compartido","Auto",G318="Transporte público","Bus",G318="Moto","Moto",G318="Bicicleta o caminando","Bicicleta")</f>
        <v>#NAME?</v>
      </c>
      <c r="I318" s="1310">
        <v>1</v>
      </c>
      <c r="J318" s="1310">
        <v>10</v>
      </c>
      <c r="K318" s="1312" t="e">
        <f t="shared" ca="1" si="9"/>
        <v>#NAME?</v>
      </c>
      <c r="L318" s="1315" t="e">
        <f ca="1">+K318*I318*VLOOKUP(H318,'Factores Emisión EDGE'!$K$267:$L$272,2,FALSE)/1000</f>
        <v>#NAME?</v>
      </c>
    </row>
    <row r="319" spans="1:12">
      <c r="A319" s="1314">
        <v>44650.510051168982</v>
      </c>
      <c r="B319" s="1310" t="s">
        <v>1971</v>
      </c>
      <c r="C319" s="1310" t="s">
        <v>1972</v>
      </c>
      <c r="D319" s="1310" t="s">
        <v>1951</v>
      </c>
      <c r="E319" s="1310" t="s">
        <v>1960</v>
      </c>
      <c r="F319" s="1310" t="e">
        <f t="array" aca="1" ref="F319" ca="1">+_xludf.IFS(E319="50% teletrabajo",0.5, E319="25% teletrabajo",0.75,E319="75% teletrabajo",0.25,E319="100% teletrabajo",0,E319="100% trabajo presencial",1)</f>
        <v>#NAME?</v>
      </c>
      <c r="G319" s="1310" t="s">
        <v>1952</v>
      </c>
      <c r="H319" s="1310" t="e">
        <f t="array" aca="1" ref="H319" ca="1">+_xludf.IFS(G319="Vehículo - Uso individual","Auto",G319="Vehículo - Uso compartido","Auto",G319="Transporte público","Bus",G319="Moto","Moto",G319="Bicicleta o caminando","Bicicleta")</f>
        <v>#NAME?</v>
      </c>
      <c r="I319" s="1310">
        <v>1</v>
      </c>
      <c r="J319" s="1312"/>
      <c r="K319" s="1312" t="e">
        <f t="shared" ca="1" si="9"/>
        <v>#NAME?</v>
      </c>
      <c r="L319" s="1315" t="e">
        <f ca="1">+K319*I319*VLOOKUP(H319,'Factores Emisión EDGE'!$K$267:$L$272,2,FALSE)/1000</f>
        <v>#NAME?</v>
      </c>
    </row>
    <row r="320" spans="1:12">
      <c r="A320" s="1314">
        <v>44650.510156064818</v>
      </c>
      <c r="B320" s="1310" t="s">
        <v>2565</v>
      </c>
      <c r="C320" s="1310" t="s">
        <v>2566</v>
      </c>
      <c r="D320" s="1310" t="s">
        <v>1951</v>
      </c>
      <c r="E320" s="1310" t="s">
        <v>1960</v>
      </c>
      <c r="F320" s="1310" t="e">
        <f t="array" aca="1" ref="F320" ca="1">+_xludf.IFS(E320="50% teletrabajo",0.5, E320="25% teletrabajo",0.75,E320="75% teletrabajo",0.25,E320="100% teletrabajo",0,E320="100% trabajo presencial",1)</f>
        <v>#NAME?</v>
      </c>
      <c r="G320" s="1310" t="s">
        <v>1952</v>
      </c>
      <c r="H320" s="1310" t="e">
        <f t="array" aca="1" ref="H320" ca="1">+_xludf.IFS(G320="Vehículo - Uso individual","Auto",G320="Vehículo - Uso compartido","Auto",G320="Transporte público","Bus",G320="Moto","Moto",G320="Bicicleta o caminando","Bicicleta")</f>
        <v>#NAME?</v>
      </c>
      <c r="I320" s="1310">
        <v>1</v>
      </c>
      <c r="J320" s="1312"/>
      <c r="K320" s="1312" t="e">
        <f t="shared" ca="1" si="9"/>
        <v>#NAME?</v>
      </c>
      <c r="L320" s="1315" t="e">
        <f ca="1">+K320*I320*VLOOKUP(H320,'Factores Emisión EDGE'!$K$267:$L$272,2,FALSE)/1000</f>
        <v>#NAME?</v>
      </c>
    </row>
    <row r="321" spans="1:12">
      <c r="A321" s="1314">
        <v>44650.510164236111</v>
      </c>
      <c r="B321" s="1310" t="s">
        <v>2567</v>
      </c>
      <c r="C321" s="1310" t="s">
        <v>2568</v>
      </c>
      <c r="D321" s="1310" t="s">
        <v>1951</v>
      </c>
      <c r="E321" s="1310" t="s">
        <v>868</v>
      </c>
      <c r="F321" s="1310" t="e">
        <f t="array" aca="1" ref="F321" ca="1">+_xludf.IFS(E321="50% teletrabajo",0.5, E321="25% teletrabajo",0.75,E321="75% teletrabajo",0.25,E321="100% teletrabajo",0,E321="100% trabajo presencial",1)</f>
        <v>#NAME?</v>
      </c>
      <c r="G321" s="1310" t="s">
        <v>1952</v>
      </c>
      <c r="H321" s="1310" t="e">
        <f t="array" aca="1" ref="H321" ca="1">+_xludf.IFS(G321="Vehículo - Uso individual","Auto",G321="Vehículo - Uso compartido","Auto",G321="Transporte público","Bus",G321="Moto","Moto",G321="Bicicleta o caminando","Bicicleta")</f>
        <v>#NAME?</v>
      </c>
      <c r="I321" s="1310">
        <v>1</v>
      </c>
      <c r="J321" s="1310">
        <v>1</v>
      </c>
      <c r="K321" s="1312" t="e">
        <f t="shared" ca="1" si="9"/>
        <v>#NAME?</v>
      </c>
      <c r="L321" s="1315" t="e">
        <f ca="1">+K321*I321*VLOOKUP(H321,'Factores Emisión EDGE'!$K$267:$L$272,2,FALSE)/1000</f>
        <v>#NAME?</v>
      </c>
    </row>
    <row r="322" spans="1:12">
      <c r="A322" s="1314">
        <v>44650.510280277776</v>
      </c>
      <c r="B322" s="1310" t="s">
        <v>2569</v>
      </c>
      <c r="C322" s="1310" t="s">
        <v>2570</v>
      </c>
      <c r="D322" s="1310" t="s">
        <v>1951</v>
      </c>
      <c r="E322" s="1310" t="s">
        <v>868</v>
      </c>
      <c r="F322" s="1310" t="e">
        <f t="array" aca="1" ref="F322" ca="1">+_xludf.IFS(E322="50% teletrabajo",0.5, E322="25% teletrabajo",0.75,E322="75% teletrabajo",0.25,E322="100% teletrabajo",0,E322="100% trabajo presencial",1)</f>
        <v>#NAME?</v>
      </c>
      <c r="G322" s="1310" t="s">
        <v>1952</v>
      </c>
      <c r="H322" s="1310" t="e">
        <f t="array" aca="1" ref="H322" ca="1">+_xludf.IFS(G322="Vehículo - Uso individual","Auto",G322="Vehículo - Uso compartido","Auto",G322="Transporte público","Bus",G322="Moto","Moto",G322="Bicicleta o caminando","Bicicleta")</f>
        <v>#NAME?</v>
      </c>
      <c r="I322" s="1310">
        <v>1</v>
      </c>
      <c r="J322" s="1310">
        <v>10</v>
      </c>
      <c r="K322" s="1312" t="e">
        <f t="shared" ca="1" si="9"/>
        <v>#NAME?</v>
      </c>
      <c r="L322" s="1315" t="e">
        <f ca="1">+K322*I322*VLOOKUP(H322,'Factores Emisión EDGE'!$K$267:$L$272,2,FALSE)/1000</f>
        <v>#NAME?</v>
      </c>
    </row>
    <row r="323" spans="1:12">
      <c r="A323" s="1314">
        <v>44650.510473136572</v>
      </c>
      <c r="B323" s="1310" t="s">
        <v>2571</v>
      </c>
      <c r="C323" s="1310" t="s">
        <v>2572</v>
      </c>
      <c r="D323" s="1310" t="s">
        <v>1951</v>
      </c>
      <c r="E323" s="1310" t="s">
        <v>872</v>
      </c>
      <c r="F323" s="1310" t="e">
        <f t="array" aca="1" ref="F323" ca="1">+_xludf.IFS(E323="50% teletrabajo",0.5, E323="25% teletrabajo",0.75,E323="75% teletrabajo",0.25,E323="100% teletrabajo",0,E323="100% trabajo presencial",1)</f>
        <v>#NAME?</v>
      </c>
      <c r="G323" s="1310" t="s">
        <v>1952</v>
      </c>
      <c r="H323" s="1310" t="e">
        <f t="array" aca="1" ref="H323" ca="1">+_xludf.IFS(G323="Vehículo - Uso individual","Auto",G323="Vehículo - Uso compartido","Auto",G323="Transporte público","Bus",G323="Moto","Moto",G323="Bicicleta o caminando","Bicicleta")</f>
        <v>#NAME?</v>
      </c>
      <c r="I323" s="1310">
        <v>1</v>
      </c>
      <c r="J323" s="1319">
        <v>432</v>
      </c>
      <c r="K323" s="1312" t="e">
        <f ca="1">+J323*F323</f>
        <v>#NAME?</v>
      </c>
      <c r="L323" s="1315" t="e">
        <f ca="1">+K323*I323*VLOOKUP(H323,'Factores Emisión EDGE'!$K$267:$L$272,2,FALSE)/1000</f>
        <v>#NAME?</v>
      </c>
    </row>
    <row r="324" spans="1:12">
      <c r="A324" s="1314">
        <v>44650.5105903125</v>
      </c>
      <c r="B324" s="1310" t="s">
        <v>2573</v>
      </c>
      <c r="C324" s="1310" t="s">
        <v>2574</v>
      </c>
      <c r="D324" s="1310" t="s">
        <v>1951</v>
      </c>
      <c r="E324" s="1310" t="s">
        <v>868</v>
      </c>
      <c r="F324" s="1310" t="e">
        <f t="array" aca="1" ref="F324" ca="1">+_xludf.IFS(E324="50% teletrabajo",0.5, E324="25% teletrabajo",0.75,E324="75% teletrabajo",0.25,E324="100% teletrabajo",0,E324="100% trabajo presencial",1)</f>
        <v>#NAME?</v>
      </c>
      <c r="G324" s="1310" t="s">
        <v>2356</v>
      </c>
      <c r="H324" s="1310" t="e">
        <f t="array" aca="1" ref="H324" ca="1">+_xludf.IFS(G324="Vehículo - Uso individual","Auto",G324="Vehículo - Uso compartido","Auto",G324="Transporte público","Bus",G324="Moto","Moto",G324="Bicicleta o caminando","Bicicleta")</f>
        <v>#NAME?</v>
      </c>
      <c r="I324" s="1310">
        <v>1</v>
      </c>
      <c r="J324" s="1312"/>
      <c r="K324" s="1312" t="e">
        <f t="shared" ref="K324:K340" ca="1" si="10">+J324*5*50*2*F324</f>
        <v>#NAME?</v>
      </c>
      <c r="L324" s="1315"/>
    </row>
    <row r="325" spans="1:12">
      <c r="A325" s="1314">
        <v>44650.511249201387</v>
      </c>
      <c r="B325" s="1310" t="s">
        <v>2575</v>
      </c>
      <c r="C325" s="1310" t="s">
        <v>2576</v>
      </c>
      <c r="D325" s="1310" t="s">
        <v>1951</v>
      </c>
      <c r="E325" s="1310" t="s">
        <v>1965</v>
      </c>
      <c r="F325" s="1310" t="e">
        <f t="array" aca="1" ref="F325" ca="1">+_xludf.IFS(E325="50% teletrabajo",0.5, E325="25% teletrabajo",0.75,E325="75% teletrabajo",0.25,E325="100% teletrabajo",0,E325="100% trabajo presencial",1)</f>
        <v>#NAME?</v>
      </c>
      <c r="G325" s="1310" t="s">
        <v>1964</v>
      </c>
      <c r="H325" s="1310" t="e">
        <f t="array" aca="1" ref="H325" ca="1">+_xludf.IFS(G325="Vehículo - Uso individual","Auto",G325="Vehículo - Uso compartido","Auto",G325="Transporte público","Bus",G325="Moto","Moto",G325="Bicicleta o caminando","Bicicleta")</f>
        <v>#NAME?</v>
      </c>
      <c r="I325" s="1310">
        <v>1</v>
      </c>
      <c r="J325" s="1310">
        <v>10</v>
      </c>
      <c r="K325" s="1312" t="e">
        <f t="shared" ca="1" si="10"/>
        <v>#NAME?</v>
      </c>
      <c r="L325" s="1315" t="e">
        <f ca="1">+K325*I325*VLOOKUP(H325,'Factores Emisión EDGE'!$K$267:$L$272,2,FALSE)/1000</f>
        <v>#NAME?</v>
      </c>
    </row>
    <row r="326" spans="1:12">
      <c r="A326" s="1314">
        <v>44650.511614976851</v>
      </c>
      <c r="B326" s="1310" t="s">
        <v>2577</v>
      </c>
      <c r="C326" s="1310" t="s">
        <v>2578</v>
      </c>
      <c r="D326" s="1310" t="s">
        <v>1951</v>
      </c>
      <c r="E326" s="1310" t="s">
        <v>1960</v>
      </c>
      <c r="F326" s="1310" t="e">
        <f t="array" aca="1" ref="F326" ca="1">+_xludf.IFS(E326="50% teletrabajo",0.5, E326="25% teletrabajo",0.75,E326="75% teletrabajo",0.25,E326="100% teletrabajo",0,E326="100% trabajo presencial",1)</f>
        <v>#NAME?</v>
      </c>
      <c r="G326" s="1310" t="s">
        <v>2356</v>
      </c>
      <c r="H326" s="1310" t="e">
        <f t="array" aca="1" ref="H326" ca="1">+_xludf.IFS(G326="Vehículo - Uso individual","Auto",G326="Vehículo - Uso compartido","Auto",G326="Transporte público","Bus",G326="Moto","Moto",G326="Bicicleta o caminando","Bicicleta")</f>
        <v>#NAME?</v>
      </c>
      <c r="I326" s="1310">
        <v>1</v>
      </c>
      <c r="J326" s="1312"/>
      <c r="K326" s="1312" t="e">
        <f t="shared" ca="1" si="10"/>
        <v>#NAME?</v>
      </c>
      <c r="L326" s="1315"/>
    </row>
    <row r="327" spans="1:12">
      <c r="A327" s="1314">
        <v>44650.511900011574</v>
      </c>
      <c r="B327" s="1310" t="s">
        <v>2579</v>
      </c>
      <c r="C327" s="1310" t="s">
        <v>2580</v>
      </c>
      <c r="D327" s="1310" t="s">
        <v>1951</v>
      </c>
      <c r="E327" s="1310" t="s">
        <v>868</v>
      </c>
      <c r="F327" s="1310" t="e">
        <f t="array" aca="1" ref="F327" ca="1">+_xludf.IFS(E327="50% teletrabajo",0.5, E327="25% teletrabajo",0.75,E327="75% teletrabajo",0.25,E327="100% teletrabajo",0,E327="100% trabajo presencial",1)</f>
        <v>#NAME?</v>
      </c>
      <c r="G327" s="1310" t="s">
        <v>1964</v>
      </c>
      <c r="H327" s="1310" t="e">
        <f t="array" aca="1" ref="H327" ca="1">+_xludf.IFS(G327="Vehículo - Uso individual","Auto",G327="Vehículo - Uso compartido","Auto",G327="Transporte público","Bus",G327="Moto","Moto",G327="Bicicleta o caminando","Bicicleta")</f>
        <v>#NAME?</v>
      </c>
      <c r="I327" s="1310">
        <v>1</v>
      </c>
      <c r="J327" s="1310">
        <v>3.7</v>
      </c>
      <c r="K327" s="1312" t="e">
        <f t="shared" ca="1" si="10"/>
        <v>#NAME?</v>
      </c>
      <c r="L327" s="1315" t="e">
        <f ca="1">+K327*I327*VLOOKUP(H327,'Factores Emisión EDGE'!$K$267:$L$272,2,FALSE)/1000</f>
        <v>#NAME?</v>
      </c>
    </row>
    <row r="328" spans="1:12">
      <c r="A328" s="1314">
        <v>44650.512165659718</v>
      </c>
      <c r="B328" s="1310" t="s">
        <v>2581</v>
      </c>
      <c r="C328" s="1310" t="s">
        <v>2063</v>
      </c>
      <c r="D328" s="1310" t="s">
        <v>1951</v>
      </c>
      <c r="E328" s="1310" t="s">
        <v>1960</v>
      </c>
      <c r="F328" s="1310" t="e">
        <f t="array" aca="1" ref="F328" ca="1">+_xludf.IFS(E328="50% teletrabajo",0.5, E328="25% teletrabajo",0.75,E328="75% teletrabajo",0.25,E328="100% teletrabajo",0,E328="100% trabajo presencial",1)</f>
        <v>#NAME?</v>
      </c>
      <c r="G328" s="1310" t="s">
        <v>1952</v>
      </c>
      <c r="H328" s="1310" t="e">
        <f t="array" aca="1" ref="H328" ca="1">+_xludf.IFS(G328="Vehículo - Uso individual","Auto",G328="Vehículo - Uso compartido","Auto",G328="Transporte público","Bus",G328="Moto","Moto",G328="Bicicleta o caminando","Bicicleta")</f>
        <v>#NAME?</v>
      </c>
      <c r="I328" s="1310">
        <v>1</v>
      </c>
      <c r="J328" s="1312"/>
      <c r="K328" s="1312" t="e">
        <f t="shared" ca="1" si="10"/>
        <v>#NAME?</v>
      </c>
      <c r="L328" s="1315" t="e">
        <f ca="1">+K328*I328*VLOOKUP(H328,'Factores Emisión EDGE'!$K$267:$L$272,2,FALSE)/1000</f>
        <v>#NAME?</v>
      </c>
    </row>
    <row r="329" spans="1:12">
      <c r="A329" s="1314">
        <v>44650.51242694445</v>
      </c>
      <c r="B329" s="1310" t="s">
        <v>2582</v>
      </c>
      <c r="C329" s="1310" t="s">
        <v>2583</v>
      </c>
      <c r="D329" s="1310" t="s">
        <v>1951</v>
      </c>
      <c r="E329" s="1310" t="s">
        <v>1960</v>
      </c>
      <c r="F329" s="1310" t="e">
        <f t="array" aca="1" ref="F329" ca="1">+_xludf.IFS(E329="50% teletrabajo",0.5, E329="25% teletrabajo",0.75,E329="75% teletrabajo",0.25,E329="100% teletrabajo",0,E329="100% trabajo presencial",1)</f>
        <v>#NAME?</v>
      </c>
      <c r="G329" s="1310" t="s">
        <v>2356</v>
      </c>
      <c r="H329" s="1310" t="e">
        <f t="array" aca="1" ref="H329" ca="1">+_xludf.IFS(G329="Vehículo - Uso individual","Auto",G329="Vehículo - Uso compartido","Auto",G329="Transporte público","Bus",G329="Moto","Moto",G329="Bicicleta o caminando","Bicicleta")</f>
        <v>#NAME?</v>
      </c>
      <c r="I329" s="1310">
        <v>1</v>
      </c>
      <c r="J329" s="1312"/>
      <c r="K329" s="1312" t="e">
        <f t="shared" ca="1" si="10"/>
        <v>#NAME?</v>
      </c>
      <c r="L329" s="1315"/>
    </row>
    <row r="330" spans="1:12">
      <c r="A330" s="1314">
        <v>44650.51287244213</v>
      </c>
      <c r="B330" s="1310" t="s">
        <v>2584</v>
      </c>
      <c r="C330" s="1310" t="s">
        <v>2585</v>
      </c>
      <c r="D330" s="1310" t="s">
        <v>1951</v>
      </c>
      <c r="E330" s="1310" t="s">
        <v>1965</v>
      </c>
      <c r="F330" s="1310" t="e">
        <f t="array" aca="1" ref="F330" ca="1">+_xludf.IFS(E330="50% teletrabajo",0.5, E330="25% teletrabajo",0.75,E330="75% teletrabajo",0.25,E330="100% teletrabajo",0,E330="100% trabajo presencial",1)</f>
        <v>#NAME?</v>
      </c>
      <c r="G330" s="1310" t="s">
        <v>1964</v>
      </c>
      <c r="H330" s="1310" t="e">
        <f t="array" aca="1" ref="H330" ca="1">+_xludf.IFS(G330="Vehículo - Uso individual","Auto",G330="Vehículo - Uso compartido","Auto",G330="Transporte público","Bus",G330="Moto","Moto",G330="Bicicleta o caminando","Bicicleta")</f>
        <v>#NAME?</v>
      </c>
      <c r="I330" s="1310">
        <v>1</v>
      </c>
      <c r="J330" s="1310">
        <v>6</v>
      </c>
      <c r="K330" s="1312" t="e">
        <f t="shared" ca="1" si="10"/>
        <v>#NAME?</v>
      </c>
      <c r="L330" s="1315" t="e">
        <f ca="1">+K330*I330*VLOOKUP(H330,'Factores Emisión EDGE'!$K$267:$L$272,2,FALSE)/1000</f>
        <v>#NAME?</v>
      </c>
    </row>
    <row r="331" spans="1:12">
      <c r="A331" s="1314">
        <v>44650.513530289347</v>
      </c>
      <c r="B331" s="1310" t="s">
        <v>2586</v>
      </c>
      <c r="C331" s="1310" t="s">
        <v>2587</v>
      </c>
      <c r="D331" s="1310" t="s">
        <v>1951</v>
      </c>
      <c r="E331" s="1310" t="s">
        <v>868</v>
      </c>
      <c r="F331" s="1310" t="e">
        <f t="array" aca="1" ref="F331" ca="1">+_xludf.IFS(E331="50% teletrabajo",0.5, E331="25% teletrabajo",0.75,E331="75% teletrabajo",0.25,E331="100% teletrabajo",0,E331="100% trabajo presencial",1)</f>
        <v>#NAME?</v>
      </c>
      <c r="G331" s="1310" t="s">
        <v>1964</v>
      </c>
      <c r="H331" s="1310" t="e">
        <f t="array" aca="1" ref="H331" ca="1">+_xludf.IFS(G331="Vehículo - Uso individual","Auto",G331="Vehículo - Uso compartido","Auto",G331="Transporte público","Bus",G331="Moto","Moto",G331="Bicicleta o caminando","Bicicleta")</f>
        <v>#NAME?</v>
      </c>
      <c r="I331" s="1310">
        <v>1</v>
      </c>
      <c r="J331" s="1310">
        <v>10.6</v>
      </c>
      <c r="K331" s="1312" t="e">
        <f t="shared" ca="1" si="10"/>
        <v>#NAME?</v>
      </c>
      <c r="L331" s="1315" t="e">
        <f ca="1">+K331*I331*VLOOKUP(H331,'Factores Emisión EDGE'!$K$267:$L$272,2,FALSE)/1000</f>
        <v>#NAME?</v>
      </c>
    </row>
    <row r="332" spans="1:12">
      <c r="A332" s="1314">
        <v>44650.513612071758</v>
      </c>
      <c r="B332" s="1310" t="s">
        <v>2588</v>
      </c>
      <c r="C332" s="1310" t="s">
        <v>2589</v>
      </c>
      <c r="D332" s="1310" t="s">
        <v>1951</v>
      </c>
      <c r="E332" s="1310" t="s">
        <v>1955</v>
      </c>
      <c r="F332" s="1310" t="e">
        <f t="array" aca="1" ref="F332" ca="1">+_xludf.IFS(E332="50% teletrabajo",0.5, E332="25% teletrabajo",0.75,E332="75% teletrabajo",0.25,E332="100% teletrabajo",0,E332="100% trabajo presencial",1)</f>
        <v>#NAME?</v>
      </c>
      <c r="G332" s="1310" t="s">
        <v>2356</v>
      </c>
      <c r="H332" s="1310" t="e">
        <f t="array" aca="1" ref="H332" ca="1">+_xludf.IFS(G332="Vehículo - Uso individual","Auto",G332="Vehículo - Uso compartido","Auto",G332="Transporte público","Bus",G332="Moto","Moto",G332="Bicicleta o caminando","Bicicleta")</f>
        <v>#NAME?</v>
      </c>
      <c r="I332" s="1310">
        <v>1</v>
      </c>
      <c r="J332" s="1312"/>
      <c r="K332" s="1312" t="e">
        <f t="shared" ca="1" si="10"/>
        <v>#NAME?</v>
      </c>
      <c r="L332" s="1315"/>
    </row>
    <row r="333" spans="1:12">
      <c r="A333" s="1314">
        <v>44650.513746828699</v>
      </c>
      <c r="B333" s="1310" t="s">
        <v>2590</v>
      </c>
      <c r="C333" s="1310" t="s">
        <v>2591</v>
      </c>
      <c r="D333" s="1310" t="s">
        <v>1951</v>
      </c>
      <c r="E333" s="1310" t="s">
        <v>868</v>
      </c>
      <c r="F333" s="1310" t="e">
        <f t="array" aca="1" ref="F333" ca="1">+_xludf.IFS(E333="50% teletrabajo",0.5, E333="25% teletrabajo",0.75,E333="75% teletrabajo",0.25,E333="100% teletrabajo",0,E333="100% trabajo presencial",1)</f>
        <v>#NAME?</v>
      </c>
      <c r="G333" s="1310" t="s">
        <v>1952</v>
      </c>
      <c r="H333" s="1310" t="e">
        <f t="array" aca="1" ref="H333" ca="1">+_xludf.IFS(G333="Vehículo - Uso individual","Auto",G333="Vehículo - Uso compartido","Auto",G333="Transporte público","Bus",G333="Moto","Moto",G333="Bicicleta o caminando","Bicicleta")</f>
        <v>#NAME?</v>
      </c>
      <c r="I333" s="1310">
        <v>1</v>
      </c>
      <c r="J333" s="1310">
        <v>13</v>
      </c>
      <c r="K333" s="1312" t="e">
        <f t="shared" ca="1" si="10"/>
        <v>#NAME?</v>
      </c>
      <c r="L333" s="1315" t="e">
        <f ca="1">+K333*I333*VLOOKUP(H333,'Factores Emisión EDGE'!$K$267:$L$272,2,FALSE)/1000</f>
        <v>#NAME?</v>
      </c>
    </row>
    <row r="334" spans="1:12">
      <c r="A334" s="1314">
        <v>44650.513975844908</v>
      </c>
      <c r="B334" s="1310" t="s">
        <v>2592</v>
      </c>
      <c r="C334" s="1310" t="s">
        <v>2593</v>
      </c>
      <c r="D334" s="1310" t="s">
        <v>1951</v>
      </c>
      <c r="E334" s="1310" t="s">
        <v>868</v>
      </c>
      <c r="F334" s="1310" t="e">
        <f t="array" aca="1" ref="F334" ca="1">+_xludf.IFS(E334="50% teletrabajo",0.5, E334="25% teletrabajo",0.75,E334="75% teletrabajo",0.25,E334="100% teletrabajo",0,E334="100% trabajo presencial",1)</f>
        <v>#NAME?</v>
      </c>
      <c r="G334" s="1310" t="s">
        <v>1995</v>
      </c>
      <c r="H334" s="1310" t="e">
        <f t="array" aca="1" ref="H334" ca="1">+_xludf.IFS(G334="Vehículo - Uso individual","Auto",G334="Vehículo - Uso compartido","Auto",G334="Transporte público","Bus",G334="Moto","Moto",G334="Bicicleta o caminando","Bicicleta")</f>
        <v>#NAME?</v>
      </c>
      <c r="I334" s="1310">
        <v>0.25</v>
      </c>
      <c r="J334" s="1310">
        <v>13</v>
      </c>
      <c r="K334" s="1312" t="e">
        <f t="shared" ca="1" si="10"/>
        <v>#NAME?</v>
      </c>
      <c r="L334" s="1315" t="e">
        <f ca="1">+K334*I334*VLOOKUP(H334,'Factores Emisión EDGE'!$K$267:$L$272,2,FALSE)/1000</f>
        <v>#NAME?</v>
      </c>
    </row>
    <row r="335" spans="1:12">
      <c r="A335" s="1314">
        <v>44650.51410291667</v>
      </c>
      <c r="B335" s="1310" t="s">
        <v>2594</v>
      </c>
      <c r="C335" s="1310" t="s">
        <v>2595</v>
      </c>
      <c r="D335" s="1310" t="s">
        <v>1951</v>
      </c>
      <c r="E335" s="1310" t="s">
        <v>868</v>
      </c>
      <c r="F335" s="1310" t="e">
        <f t="array" aca="1" ref="F335" ca="1">+_xludf.IFS(E335="50% teletrabajo",0.5, E335="25% teletrabajo",0.75,E335="75% teletrabajo",0.25,E335="100% teletrabajo",0,E335="100% trabajo presencial",1)</f>
        <v>#NAME?</v>
      </c>
      <c r="G335" s="1310" t="s">
        <v>1952</v>
      </c>
      <c r="H335" s="1310" t="e">
        <f t="array" aca="1" ref="H335" ca="1">+_xludf.IFS(G335="Vehículo - Uso individual","Auto",G335="Vehículo - Uso compartido","Auto",G335="Transporte público","Bus",G335="Moto","Moto",G335="Bicicleta o caminando","Bicicleta")</f>
        <v>#NAME?</v>
      </c>
      <c r="I335" s="1310">
        <v>1</v>
      </c>
      <c r="J335" s="1310">
        <v>28</v>
      </c>
      <c r="K335" s="1312" t="e">
        <f t="shared" ca="1" si="10"/>
        <v>#NAME?</v>
      </c>
      <c r="L335" s="1315" t="e">
        <f ca="1">+K335*I335*VLOOKUP(H335,'Factores Emisión EDGE'!$K$267:$L$272,2,FALSE)/1000</f>
        <v>#NAME?</v>
      </c>
    </row>
    <row r="336" spans="1:12">
      <c r="A336" s="1314">
        <v>44650.514152094911</v>
      </c>
      <c r="B336" s="1310" t="s">
        <v>2596</v>
      </c>
      <c r="C336" s="1310" t="s">
        <v>2597</v>
      </c>
      <c r="D336" s="1310" t="s">
        <v>1951</v>
      </c>
      <c r="E336" s="1310" t="s">
        <v>868</v>
      </c>
      <c r="F336" s="1310" t="e">
        <f t="array" aca="1" ref="F336" ca="1">+_xludf.IFS(E336="50% teletrabajo",0.5, E336="25% teletrabajo",0.75,E336="75% teletrabajo",0.25,E336="100% teletrabajo",0,E336="100% trabajo presencial",1)</f>
        <v>#NAME?</v>
      </c>
      <c r="G336" s="1310" t="s">
        <v>1952</v>
      </c>
      <c r="H336" s="1310" t="e">
        <f t="array" aca="1" ref="H336" ca="1">+_xludf.IFS(G336="Vehículo - Uso individual","Auto",G336="Vehículo - Uso compartido","Auto",G336="Transporte público","Bus",G336="Moto","Moto",G336="Bicicleta o caminando","Bicicleta")</f>
        <v>#NAME?</v>
      </c>
      <c r="I336" s="1310">
        <v>1</v>
      </c>
      <c r="J336" s="1310">
        <v>4.5</v>
      </c>
      <c r="K336" s="1312" t="e">
        <f t="shared" ca="1" si="10"/>
        <v>#NAME?</v>
      </c>
      <c r="L336" s="1315" t="e">
        <f ca="1">+K336*I336*VLOOKUP(H336,'Factores Emisión EDGE'!$K$267:$L$272,2,FALSE)/1000</f>
        <v>#NAME?</v>
      </c>
    </row>
    <row r="337" spans="1:12">
      <c r="A337" s="1314">
        <v>44650.514614386571</v>
      </c>
      <c r="B337" s="1310" t="s">
        <v>2598</v>
      </c>
      <c r="C337" s="1310" t="s">
        <v>2599</v>
      </c>
      <c r="D337" s="1310" t="s">
        <v>1951</v>
      </c>
      <c r="E337" s="1310" t="s">
        <v>868</v>
      </c>
      <c r="F337" s="1310" t="e">
        <f t="array" aca="1" ref="F337" ca="1">+_xludf.IFS(E337="50% teletrabajo",0.5, E337="25% teletrabajo",0.75,E337="75% teletrabajo",0.25,E337="100% teletrabajo",0,E337="100% trabajo presencial",1)</f>
        <v>#NAME?</v>
      </c>
      <c r="G337" s="1310" t="s">
        <v>1964</v>
      </c>
      <c r="H337" s="1310" t="e">
        <f t="array" aca="1" ref="H337" ca="1">+_xludf.IFS(G337="Vehículo - Uso individual","Auto",G337="Vehículo - Uso compartido","Auto",G337="Transporte público","Bus",G337="Moto","Moto",G337="Bicicleta o caminando","Bicicleta")</f>
        <v>#NAME?</v>
      </c>
      <c r="I337" s="1310">
        <v>1</v>
      </c>
      <c r="J337" s="1310">
        <v>6.7</v>
      </c>
      <c r="K337" s="1312" t="e">
        <f t="shared" ca="1" si="10"/>
        <v>#NAME?</v>
      </c>
      <c r="L337" s="1315" t="e">
        <f ca="1">+K337*I337*VLOOKUP(H337,'Factores Emisión EDGE'!$K$267:$L$272,2,FALSE)/1000</f>
        <v>#NAME?</v>
      </c>
    </row>
    <row r="338" spans="1:12">
      <c r="A338" s="1314">
        <v>44650.514743842592</v>
      </c>
      <c r="B338" s="1310" t="s">
        <v>2600</v>
      </c>
      <c r="C338" s="1310" t="s">
        <v>2601</v>
      </c>
      <c r="D338" s="1310" t="s">
        <v>1951</v>
      </c>
      <c r="E338" s="1310" t="s">
        <v>1960</v>
      </c>
      <c r="F338" s="1310" t="e">
        <f t="array" aca="1" ref="F338" ca="1">+_xludf.IFS(E338="50% teletrabajo",0.5, E338="25% teletrabajo",0.75,E338="75% teletrabajo",0.25,E338="100% teletrabajo",0,E338="100% trabajo presencial",1)</f>
        <v>#NAME?</v>
      </c>
      <c r="G338" s="1310" t="s">
        <v>2356</v>
      </c>
      <c r="H338" s="1310" t="e">
        <f t="array" aca="1" ref="H338" ca="1">+_xludf.IFS(G338="Vehículo - Uso individual","Auto",G338="Vehículo - Uso compartido","Auto",G338="Transporte público","Bus",G338="Moto","Moto",G338="Bicicleta o caminando","Bicicleta")</f>
        <v>#NAME?</v>
      </c>
      <c r="I338" s="1310">
        <v>1</v>
      </c>
      <c r="J338" s="1312"/>
      <c r="K338" s="1312" t="e">
        <f t="shared" ca="1" si="10"/>
        <v>#NAME?</v>
      </c>
      <c r="L338" s="1315"/>
    </row>
    <row r="339" spans="1:12">
      <c r="A339" s="1314">
        <v>44650.515102395831</v>
      </c>
      <c r="B339" s="1310" t="s">
        <v>2569</v>
      </c>
      <c r="C339" s="1310" t="s">
        <v>2570</v>
      </c>
      <c r="D339" s="1310" t="s">
        <v>1951</v>
      </c>
      <c r="E339" s="1310" t="s">
        <v>868</v>
      </c>
      <c r="F339" s="1310" t="e">
        <f t="array" aca="1" ref="F339" ca="1">+_xludf.IFS(E339="50% teletrabajo",0.5, E339="25% teletrabajo",0.75,E339="75% teletrabajo",0.25,E339="100% teletrabajo",0,E339="100% trabajo presencial",1)</f>
        <v>#NAME?</v>
      </c>
      <c r="G339" s="1310" t="s">
        <v>1952</v>
      </c>
      <c r="H339" s="1310" t="e">
        <f t="array" aca="1" ref="H339" ca="1">+_xludf.IFS(G339="Vehículo - Uso individual","Auto",G339="Vehículo - Uso compartido","Auto",G339="Transporte público","Bus",G339="Moto","Moto",G339="Bicicleta o caminando","Bicicleta")</f>
        <v>#NAME?</v>
      </c>
      <c r="I339" s="1310">
        <v>1</v>
      </c>
      <c r="J339" s="1310">
        <v>10</v>
      </c>
      <c r="K339" s="1312" t="e">
        <f t="shared" ca="1" si="10"/>
        <v>#NAME?</v>
      </c>
      <c r="L339" s="1315" t="e">
        <f ca="1">+K339*I339*VLOOKUP(H339,'Factores Emisión EDGE'!$K$267:$L$272,2,FALSE)/1000</f>
        <v>#NAME?</v>
      </c>
    </row>
    <row r="340" spans="1:12">
      <c r="A340" s="1314">
        <v>44650.515334756943</v>
      </c>
      <c r="B340" s="1310" t="s">
        <v>2602</v>
      </c>
      <c r="C340" s="1310" t="s">
        <v>2603</v>
      </c>
      <c r="D340" s="1310" t="s">
        <v>1951</v>
      </c>
      <c r="E340" s="1310" t="s">
        <v>868</v>
      </c>
      <c r="F340" s="1310" t="e">
        <f t="array" aca="1" ref="F340" ca="1">+_xludf.IFS(E340="50% teletrabajo",0.5, E340="25% teletrabajo",0.75,E340="75% teletrabajo",0.25,E340="100% teletrabajo",0,E340="100% trabajo presencial",1)</f>
        <v>#NAME?</v>
      </c>
      <c r="G340" s="1310" t="s">
        <v>1964</v>
      </c>
      <c r="H340" s="1310" t="e">
        <f t="array" aca="1" ref="H340" ca="1">+_xludf.IFS(G340="Vehículo - Uso individual","Auto",G340="Vehículo - Uso compartido","Auto",G340="Transporte público","Bus",G340="Moto","Moto",G340="Bicicleta o caminando","Bicicleta")</f>
        <v>#NAME?</v>
      </c>
      <c r="I340" s="1310">
        <v>1</v>
      </c>
      <c r="J340" s="1310">
        <v>4.0999999999999996</v>
      </c>
      <c r="K340" s="1312" t="e">
        <f t="shared" ca="1" si="10"/>
        <v>#NAME?</v>
      </c>
      <c r="L340" s="1315" t="e">
        <f ca="1">+K340*I340*VLOOKUP(H340,'Factores Emisión EDGE'!$K$267:$L$272,2,FALSE)/1000</f>
        <v>#NAME?</v>
      </c>
    </row>
    <row r="341" spans="1:12">
      <c r="A341" s="1314">
        <v>44650.515725081015</v>
      </c>
      <c r="B341" s="1310" t="s">
        <v>2604</v>
      </c>
      <c r="C341" s="1310" t="s">
        <v>2605</v>
      </c>
      <c r="D341" s="1310" t="s">
        <v>1951</v>
      </c>
      <c r="E341" s="1310" t="s">
        <v>1965</v>
      </c>
      <c r="F341" s="1310" t="e">
        <f t="array" aca="1" ref="F341" ca="1">+_xludf.IFS(E341="50% teletrabajo",0.5, E341="25% teletrabajo",0.75,E341="75% teletrabajo",0.25,E341="100% teletrabajo",0,E341="100% trabajo presencial",1)</f>
        <v>#NAME?</v>
      </c>
      <c r="G341" s="1310" t="s">
        <v>1952</v>
      </c>
      <c r="H341" s="1310" t="e">
        <f t="array" aca="1" ref="H341" ca="1">+_xludf.IFS(G341="Vehículo - Uso individual","Auto",G341="Vehículo - Uso compartido","Auto",G341="Transporte público","Bus",G341="Moto","Moto",G341="Bicicleta o caminando","Bicicleta")</f>
        <v>#NAME?</v>
      </c>
      <c r="I341" s="1310">
        <v>1</v>
      </c>
      <c r="J341" s="1319">
        <v>900</v>
      </c>
      <c r="K341" s="1312" t="e">
        <f ca="1">+J341*F341</f>
        <v>#NAME?</v>
      </c>
      <c r="L341" s="1315" t="e">
        <f ca="1">+K341*I341*VLOOKUP(H341,'Factores Emisión EDGE'!$K$267:$L$272,2,FALSE)/1000</f>
        <v>#NAME?</v>
      </c>
    </row>
    <row r="342" spans="1:12">
      <c r="A342" s="1314">
        <v>44650.516175405093</v>
      </c>
      <c r="B342" s="1310" t="s">
        <v>2606</v>
      </c>
      <c r="C342" s="1310" t="s">
        <v>2607</v>
      </c>
      <c r="D342" s="1310" t="s">
        <v>1951</v>
      </c>
      <c r="E342" s="1310" t="s">
        <v>1960</v>
      </c>
      <c r="F342" s="1310" t="e">
        <f t="array" aca="1" ref="F342" ca="1">+_xludf.IFS(E342="50% teletrabajo",0.5, E342="25% teletrabajo",0.75,E342="75% teletrabajo",0.25,E342="100% teletrabajo",0,E342="100% trabajo presencial",1)</f>
        <v>#NAME?</v>
      </c>
      <c r="G342" s="1310" t="s">
        <v>2356</v>
      </c>
      <c r="H342" s="1310" t="e">
        <f t="array" aca="1" ref="H342" ca="1">+_xludf.IFS(G342="Vehículo - Uso individual","Auto",G342="Vehículo - Uso compartido","Auto",G342="Transporte público","Bus",G342="Moto","Moto",G342="Bicicleta o caminando","Bicicleta")</f>
        <v>#NAME?</v>
      </c>
      <c r="I342" s="1310">
        <v>1</v>
      </c>
      <c r="J342" s="1312"/>
      <c r="K342" s="1312" t="e">
        <f t="shared" ref="K342:K347" ca="1" si="11">+J342*5*50*2*F342</f>
        <v>#NAME?</v>
      </c>
      <c r="L342" s="1315"/>
    </row>
    <row r="343" spans="1:12">
      <c r="A343" s="1314">
        <v>44650.516962627313</v>
      </c>
      <c r="B343" s="1310" t="s">
        <v>2608</v>
      </c>
      <c r="C343" s="1310" t="s">
        <v>2609</v>
      </c>
      <c r="D343" s="1310" t="s">
        <v>1951</v>
      </c>
      <c r="E343" s="1310" t="s">
        <v>1965</v>
      </c>
      <c r="F343" s="1310" t="e">
        <f t="array" aca="1" ref="F343" ca="1">+_xludf.IFS(E343="50% teletrabajo",0.5, E343="25% teletrabajo",0.75,E343="75% teletrabajo",0.25,E343="100% teletrabajo",0,E343="100% trabajo presencial",1)</f>
        <v>#NAME?</v>
      </c>
      <c r="G343" s="1310" t="s">
        <v>1952</v>
      </c>
      <c r="H343" s="1310" t="e">
        <f t="array" aca="1" ref="H343" ca="1">+_xludf.IFS(G343="Vehículo - Uso individual","Auto",G343="Vehículo - Uso compartido","Auto",G343="Transporte público","Bus",G343="Moto","Moto",G343="Bicicleta o caminando","Bicicleta")</f>
        <v>#NAME?</v>
      </c>
      <c r="I343" s="1310">
        <v>1</v>
      </c>
      <c r="J343" s="1310">
        <v>20</v>
      </c>
      <c r="K343" s="1312" t="e">
        <f t="shared" ca="1" si="11"/>
        <v>#NAME?</v>
      </c>
      <c r="L343" s="1315" t="e">
        <f ca="1">+K343*I343*VLOOKUP(H343,'Factores Emisión EDGE'!$K$267:$L$272,2,FALSE)/1000</f>
        <v>#NAME?</v>
      </c>
    </row>
    <row r="344" spans="1:12">
      <c r="A344" s="1314">
        <v>44650.517067800931</v>
      </c>
      <c r="B344" s="1310" t="s">
        <v>2610</v>
      </c>
      <c r="C344" s="1310" t="s">
        <v>2611</v>
      </c>
      <c r="D344" s="1310" t="s">
        <v>1951</v>
      </c>
      <c r="E344" s="1310" t="s">
        <v>1955</v>
      </c>
      <c r="F344" s="1310" t="e">
        <f t="array" aca="1" ref="F344" ca="1">+_xludf.IFS(E344="50% teletrabajo",0.5, E344="25% teletrabajo",0.75,E344="75% teletrabajo",0.25,E344="100% teletrabajo",0,E344="100% trabajo presencial",1)</f>
        <v>#NAME?</v>
      </c>
      <c r="G344" s="1310" t="s">
        <v>1952</v>
      </c>
      <c r="H344" s="1310" t="e">
        <f t="array" aca="1" ref="H344" ca="1">+_xludf.IFS(G344="Vehículo - Uso individual","Auto",G344="Vehículo - Uso compartido","Auto",G344="Transporte público","Bus",G344="Moto","Moto",G344="Bicicleta o caminando","Bicicleta")</f>
        <v>#NAME?</v>
      </c>
      <c r="I344" s="1310">
        <v>1</v>
      </c>
      <c r="J344" s="1310">
        <v>10</v>
      </c>
      <c r="K344" s="1312" t="e">
        <f t="shared" ca="1" si="11"/>
        <v>#NAME?</v>
      </c>
      <c r="L344" s="1315" t="e">
        <f ca="1">+K344*I344*VLOOKUP(H344,'Factores Emisión EDGE'!$K$267:$L$272,2,FALSE)/1000</f>
        <v>#NAME?</v>
      </c>
    </row>
    <row r="345" spans="1:12">
      <c r="A345" s="1314">
        <v>44650.5172021412</v>
      </c>
      <c r="B345" s="1310" t="s">
        <v>2612</v>
      </c>
      <c r="C345" s="1310" t="s">
        <v>2613</v>
      </c>
      <c r="D345" s="1310" t="s">
        <v>1951</v>
      </c>
      <c r="E345" s="1310" t="s">
        <v>1960</v>
      </c>
      <c r="F345" s="1310" t="e">
        <f t="array" aca="1" ref="F345" ca="1">+_xludf.IFS(E345="50% teletrabajo",0.5, E345="25% teletrabajo",0.75,E345="75% teletrabajo",0.25,E345="100% teletrabajo",0,E345="100% trabajo presencial",1)</f>
        <v>#NAME?</v>
      </c>
      <c r="G345" s="1310" t="s">
        <v>2356</v>
      </c>
      <c r="H345" s="1310" t="e">
        <f t="array" aca="1" ref="H345" ca="1">+_xludf.IFS(G345="Vehículo - Uso individual","Auto",G345="Vehículo - Uso compartido","Auto",G345="Transporte público","Bus",G345="Moto","Moto",G345="Bicicleta o caminando","Bicicleta")</f>
        <v>#NAME?</v>
      </c>
      <c r="I345" s="1310">
        <v>1</v>
      </c>
      <c r="J345" s="1312"/>
      <c r="K345" s="1312" t="e">
        <f t="shared" ca="1" si="11"/>
        <v>#NAME?</v>
      </c>
      <c r="L345" s="1315"/>
    </row>
    <row r="346" spans="1:12">
      <c r="A346" s="1314">
        <v>44650.51784925926</v>
      </c>
      <c r="B346" s="1310" t="s">
        <v>2614</v>
      </c>
      <c r="C346" s="1310" t="s">
        <v>2615</v>
      </c>
      <c r="D346" s="1310" t="s">
        <v>1951</v>
      </c>
      <c r="E346" s="1310" t="s">
        <v>868</v>
      </c>
      <c r="F346" s="1310" t="e">
        <f t="array" aca="1" ref="F346" ca="1">+_xludf.IFS(E346="50% teletrabajo",0.5, E346="25% teletrabajo",0.75,E346="75% teletrabajo",0.25,E346="100% teletrabajo",0,E346="100% trabajo presencial",1)</f>
        <v>#NAME?</v>
      </c>
      <c r="G346" s="1310" t="s">
        <v>1952</v>
      </c>
      <c r="H346" s="1310" t="e">
        <f t="array" aca="1" ref="H346" ca="1">+_xludf.IFS(G346="Vehículo - Uso individual","Auto",G346="Vehículo - Uso compartido","Auto",G346="Transporte público","Bus",G346="Moto","Moto",G346="Bicicleta o caminando","Bicicleta")</f>
        <v>#NAME?</v>
      </c>
      <c r="I346" s="1310">
        <v>1</v>
      </c>
      <c r="J346" s="1310">
        <v>26</v>
      </c>
      <c r="K346" s="1312" t="e">
        <f t="shared" ca="1" si="11"/>
        <v>#NAME?</v>
      </c>
      <c r="L346" s="1315" t="e">
        <f ca="1">+K346*I346*VLOOKUP(H346,'Factores Emisión EDGE'!$K$267:$L$272,2,FALSE)/1000</f>
        <v>#NAME?</v>
      </c>
    </row>
    <row r="347" spans="1:12">
      <c r="A347" s="1314">
        <v>44650.519148958338</v>
      </c>
      <c r="B347" s="1310" t="s">
        <v>2616</v>
      </c>
      <c r="C347" s="1310" t="s">
        <v>2617</v>
      </c>
      <c r="D347" s="1310" t="s">
        <v>1951</v>
      </c>
      <c r="E347" s="1310" t="s">
        <v>868</v>
      </c>
      <c r="F347" s="1310" t="e">
        <f t="array" aca="1" ref="F347" ca="1">+_xludf.IFS(E347="50% teletrabajo",0.5, E347="25% teletrabajo",0.75,E347="75% teletrabajo",0.25,E347="100% teletrabajo",0,E347="100% trabajo presencial",1)</f>
        <v>#NAME?</v>
      </c>
      <c r="G347" s="1310" t="s">
        <v>1952</v>
      </c>
      <c r="H347" s="1310" t="e">
        <f t="array" aca="1" ref="H347" ca="1">+_xludf.IFS(G347="Vehículo - Uso individual","Auto",G347="Vehículo - Uso compartido","Auto",G347="Transporte público","Bus",G347="Moto","Moto",G347="Bicicleta o caminando","Bicicleta")</f>
        <v>#NAME?</v>
      </c>
      <c r="I347" s="1310">
        <v>1</v>
      </c>
      <c r="J347" s="1310">
        <v>30.7</v>
      </c>
      <c r="K347" s="1312" t="e">
        <f t="shared" ca="1" si="11"/>
        <v>#NAME?</v>
      </c>
      <c r="L347" s="1315" t="e">
        <f ca="1">+K347*I347*VLOOKUP(H347,'Factores Emisión EDGE'!$K$267:$L$272,2,FALSE)/1000</f>
        <v>#NAME?</v>
      </c>
    </row>
    <row r="348" spans="1:12">
      <c r="A348" s="1314">
        <v>44650.520787986112</v>
      </c>
      <c r="B348" s="1310" t="s">
        <v>2618</v>
      </c>
      <c r="C348" s="1310" t="s">
        <v>2619</v>
      </c>
      <c r="D348" s="1310" t="s">
        <v>1951</v>
      </c>
      <c r="E348" s="1310" t="s">
        <v>868</v>
      </c>
      <c r="F348" s="1310" t="e">
        <f t="array" aca="1" ref="F348" ca="1">+_xludf.IFS(E348="50% teletrabajo",0.5, E348="25% teletrabajo",0.75,E348="75% teletrabajo",0.25,E348="100% teletrabajo",0,E348="100% trabajo presencial",1)</f>
        <v>#NAME?</v>
      </c>
      <c r="G348" s="1310" t="s">
        <v>1952</v>
      </c>
      <c r="H348" s="1310" t="e">
        <f t="array" aca="1" ref="H348" ca="1">+_xludf.IFS(G348="Vehículo - Uso individual","Auto",G348="Vehículo - Uso compartido","Auto",G348="Transporte público","Bus",G348="Moto","Moto",G348="Bicicleta o caminando","Bicicleta")</f>
        <v>#NAME?</v>
      </c>
      <c r="I348" s="1310">
        <v>1</v>
      </c>
      <c r="J348" s="1319">
        <v>12560</v>
      </c>
      <c r="K348" s="1312" t="e">
        <f ca="1">+J348*F348</f>
        <v>#NAME?</v>
      </c>
      <c r="L348" s="1315" t="e">
        <f ca="1">+K348*I348*VLOOKUP(H348,'Factores Emisión EDGE'!$K$267:$L$272,2,FALSE)/1000</f>
        <v>#NAME?</v>
      </c>
    </row>
    <row r="349" spans="1:12">
      <c r="A349" s="1314">
        <v>44650.520876134258</v>
      </c>
      <c r="B349" s="1310" t="s">
        <v>2620</v>
      </c>
      <c r="C349" s="1310" t="s">
        <v>2621</v>
      </c>
      <c r="D349" s="1310" t="s">
        <v>1951</v>
      </c>
      <c r="E349" s="1310" t="s">
        <v>868</v>
      </c>
      <c r="F349" s="1310" t="e">
        <f t="array" aca="1" ref="F349" ca="1">+_xludf.IFS(E349="50% teletrabajo",0.5, E349="25% teletrabajo",0.75,E349="75% teletrabajo",0.25,E349="100% teletrabajo",0,E349="100% trabajo presencial",1)</f>
        <v>#NAME?</v>
      </c>
      <c r="G349" s="1310" t="s">
        <v>863</v>
      </c>
      <c r="H349" s="1310" t="e">
        <f t="array" aca="1" ref="H349" ca="1">+_xludf.IFS(G349="Vehículo - Uso individual","Auto",G349="Vehículo - Uso compartido","Auto",G349="Transporte público","Bus",G349="Moto","Moto",G349="Bicicleta o caminando","Bicicleta")</f>
        <v>#NAME?</v>
      </c>
      <c r="I349" s="1310">
        <v>1</v>
      </c>
      <c r="J349" s="1310">
        <v>6</v>
      </c>
      <c r="K349" s="1312" t="e">
        <f t="shared" ref="K349:K365" ca="1" si="12">+J349*5*50*2*F349</f>
        <v>#NAME?</v>
      </c>
      <c r="L349" s="1315" t="e">
        <f ca="1">+K349*I349*VLOOKUP(H349,'Factores Emisión EDGE'!$K$267:$L$272,2,FALSE)/1000</f>
        <v>#NAME?</v>
      </c>
    </row>
    <row r="350" spans="1:12">
      <c r="A350" s="1314">
        <v>44650.520883645833</v>
      </c>
      <c r="B350" s="1310" t="s">
        <v>2622</v>
      </c>
      <c r="C350" s="1310" t="s">
        <v>2301</v>
      </c>
      <c r="D350" s="1310" t="s">
        <v>1951</v>
      </c>
      <c r="E350" s="1310" t="s">
        <v>868</v>
      </c>
      <c r="F350" s="1310" t="e">
        <f t="array" aca="1" ref="F350" ca="1">+_xludf.IFS(E350="50% teletrabajo",0.5, E350="25% teletrabajo",0.75,E350="75% teletrabajo",0.25,E350="100% teletrabajo",0,E350="100% trabajo presencial",1)</f>
        <v>#NAME?</v>
      </c>
      <c r="G350" s="1310" t="s">
        <v>1964</v>
      </c>
      <c r="H350" s="1310" t="e">
        <f t="array" aca="1" ref="H350" ca="1">+_xludf.IFS(G350="Vehículo - Uso individual","Auto",G350="Vehículo - Uso compartido","Auto",G350="Transporte público","Bus",G350="Moto","Moto",G350="Bicicleta o caminando","Bicicleta")</f>
        <v>#NAME?</v>
      </c>
      <c r="I350" s="1310">
        <v>1</v>
      </c>
      <c r="J350" s="1310">
        <v>43</v>
      </c>
      <c r="K350" s="1312" t="e">
        <f t="shared" ca="1" si="12"/>
        <v>#NAME?</v>
      </c>
      <c r="L350" s="1315" t="e">
        <f ca="1">+K350*I350*VLOOKUP(H350,'Factores Emisión EDGE'!$K$267:$L$272,2,FALSE)/1000</f>
        <v>#NAME?</v>
      </c>
    </row>
    <row r="351" spans="1:12">
      <c r="A351" s="1314">
        <v>44650.522995196763</v>
      </c>
      <c r="B351" s="1310" t="s">
        <v>2623</v>
      </c>
      <c r="C351" s="1310" t="s">
        <v>2624</v>
      </c>
      <c r="D351" s="1310" t="s">
        <v>1951</v>
      </c>
      <c r="E351" s="1310" t="s">
        <v>872</v>
      </c>
      <c r="F351" s="1310" t="e">
        <f t="array" aca="1" ref="F351" ca="1">+_xludf.IFS(E351="50% teletrabajo",0.5, E351="25% teletrabajo",0.75,E351="75% teletrabajo",0.25,E351="100% teletrabajo",0,E351="100% trabajo presencial",1)</f>
        <v>#NAME?</v>
      </c>
      <c r="G351" s="1310" t="s">
        <v>1952</v>
      </c>
      <c r="H351" s="1310" t="e">
        <f t="array" aca="1" ref="H351" ca="1">+_xludf.IFS(G351="Vehículo - Uso individual","Auto",G351="Vehículo - Uso compartido","Auto",G351="Transporte público","Bus",G351="Moto","Moto",G351="Bicicleta o caminando","Bicicleta")</f>
        <v>#NAME?</v>
      </c>
      <c r="I351" s="1310">
        <v>1</v>
      </c>
      <c r="J351" s="1310">
        <v>25.6</v>
      </c>
      <c r="K351" s="1312" t="e">
        <f t="shared" ca="1" si="12"/>
        <v>#NAME?</v>
      </c>
      <c r="L351" s="1315" t="e">
        <f ca="1">+K351*I351*VLOOKUP(H351,'Factores Emisión EDGE'!$K$267:$L$272,2,FALSE)/1000</f>
        <v>#NAME?</v>
      </c>
    </row>
    <row r="352" spans="1:12">
      <c r="A352" s="1314">
        <v>44650.523110567126</v>
      </c>
      <c r="B352" s="1310" t="s">
        <v>2625</v>
      </c>
      <c r="C352" s="1310" t="s">
        <v>2626</v>
      </c>
      <c r="D352" s="1310" t="s">
        <v>1951</v>
      </c>
      <c r="E352" s="1310" t="s">
        <v>1965</v>
      </c>
      <c r="F352" s="1310" t="e">
        <f t="array" aca="1" ref="F352" ca="1">+_xludf.IFS(E352="50% teletrabajo",0.5, E352="25% teletrabajo",0.75,E352="75% teletrabajo",0.25,E352="100% teletrabajo",0,E352="100% trabajo presencial",1)</f>
        <v>#NAME?</v>
      </c>
      <c r="G352" s="1310" t="s">
        <v>1964</v>
      </c>
      <c r="H352" s="1310" t="e">
        <f t="array" aca="1" ref="H352" ca="1">+_xludf.IFS(G352="Vehículo - Uso individual","Auto",G352="Vehículo - Uso compartido","Auto",G352="Transporte público","Bus",G352="Moto","Moto",G352="Bicicleta o caminando","Bicicleta")</f>
        <v>#NAME?</v>
      </c>
      <c r="I352" s="1310">
        <v>1</v>
      </c>
      <c r="J352" s="1310">
        <v>100</v>
      </c>
      <c r="K352" s="1312" t="e">
        <f t="shared" ca="1" si="12"/>
        <v>#NAME?</v>
      </c>
      <c r="L352" s="1315" t="e">
        <f ca="1">+K352*I352*VLOOKUP(H352,'Factores Emisión EDGE'!$K$267:$L$272,2,FALSE)/1000</f>
        <v>#NAME?</v>
      </c>
    </row>
    <row r="353" spans="1:12">
      <c r="A353" s="1314">
        <v>44650.523592164347</v>
      </c>
      <c r="B353" s="1310" t="s">
        <v>2627</v>
      </c>
      <c r="C353" s="1310" t="s">
        <v>2628</v>
      </c>
      <c r="D353" s="1310" t="s">
        <v>1951</v>
      </c>
      <c r="E353" s="1310" t="s">
        <v>1960</v>
      </c>
      <c r="F353" s="1310" t="e">
        <f t="array" aca="1" ref="F353" ca="1">+_xludf.IFS(E353="50% teletrabajo",0.5, E353="25% teletrabajo",0.75,E353="75% teletrabajo",0.25,E353="100% teletrabajo",0,E353="100% trabajo presencial",1)</f>
        <v>#NAME?</v>
      </c>
      <c r="G353" s="1310" t="s">
        <v>2356</v>
      </c>
      <c r="H353" s="1310" t="e">
        <f t="array" aca="1" ref="H353" ca="1">+_xludf.IFS(G353="Vehículo - Uso individual","Auto",G353="Vehículo - Uso compartido","Auto",G353="Transporte público","Bus",G353="Moto","Moto",G353="Bicicleta o caminando","Bicicleta")</f>
        <v>#NAME?</v>
      </c>
      <c r="I353" s="1310">
        <v>1</v>
      </c>
      <c r="J353" s="1312"/>
      <c r="K353" s="1312" t="e">
        <f t="shared" ca="1" si="12"/>
        <v>#NAME?</v>
      </c>
      <c r="L353" s="1315"/>
    </row>
    <row r="354" spans="1:12">
      <c r="A354" s="1314">
        <v>44650.525097291669</v>
      </c>
      <c r="B354" s="1310" t="s">
        <v>2629</v>
      </c>
      <c r="C354" s="1310" t="s">
        <v>2630</v>
      </c>
      <c r="D354" s="1310" t="s">
        <v>1951</v>
      </c>
      <c r="E354" s="1310" t="s">
        <v>868</v>
      </c>
      <c r="F354" s="1310" t="e">
        <f t="array" aca="1" ref="F354" ca="1">+_xludf.IFS(E354="50% teletrabajo",0.5, E354="25% teletrabajo",0.75,E354="75% teletrabajo",0.25,E354="100% teletrabajo",0,E354="100% trabajo presencial",1)</f>
        <v>#NAME?</v>
      </c>
      <c r="G354" s="1310" t="s">
        <v>1952</v>
      </c>
      <c r="H354" s="1310" t="e">
        <f t="array" aca="1" ref="H354" ca="1">+_xludf.IFS(G354="Vehículo - Uso individual","Auto",G354="Vehículo - Uso compartido","Auto",G354="Transporte público","Bus",G354="Moto","Moto",G354="Bicicleta o caminando","Bicicleta")</f>
        <v>#NAME?</v>
      </c>
      <c r="I354" s="1310">
        <v>1</v>
      </c>
      <c r="J354" s="1310">
        <v>45</v>
      </c>
      <c r="K354" s="1312" t="e">
        <f t="shared" ca="1" si="12"/>
        <v>#NAME?</v>
      </c>
      <c r="L354" s="1315" t="e">
        <f ca="1">+K354*I354*VLOOKUP(H354,'Factores Emisión EDGE'!$K$267:$L$272,2,FALSE)/1000</f>
        <v>#NAME?</v>
      </c>
    </row>
    <row r="355" spans="1:12">
      <c r="A355" s="1314">
        <v>44650.525587337965</v>
      </c>
      <c r="B355" s="1310" t="s">
        <v>2631</v>
      </c>
      <c r="C355" s="1310" t="s">
        <v>2632</v>
      </c>
      <c r="D355" s="1310" t="s">
        <v>1951</v>
      </c>
      <c r="E355" s="1310" t="s">
        <v>1955</v>
      </c>
      <c r="F355" s="1310" t="e">
        <f t="array" aca="1" ref="F355" ca="1">+_xludf.IFS(E355="50% teletrabajo",0.5, E355="25% teletrabajo",0.75,E355="75% teletrabajo",0.25,E355="100% teletrabajo",0,E355="100% trabajo presencial",1)</f>
        <v>#NAME?</v>
      </c>
      <c r="G355" s="1310" t="s">
        <v>1952</v>
      </c>
      <c r="H355" s="1310" t="e">
        <f t="array" aca="1" ref="H355" ca="1">+_xludf.IFS(G355="Vehículo - Uso individual","Auto",G355="Vehículo - Uso compartido","Auto",G355="Transporte público","Bus",G355="Moto","Moto",G355="Bicicleta o caminando","Bicicleta")</f>
        <v>#NAME?</v>
      </c>
      <c r="I355" s="1310">
        <v>1</v>
      </c>
      <c r="J355" s="1310">
        <v>38</v>
      </c>
      <c r="K355" s="1312" t="e">
        <f t="shared" ca="1" si="12"/>
        <v>#NAME?</v>
      </c>
      <c r="L355" s="1315" t="e">
        <f ca="1">+K355*I355*VLOOKUP(H355,'Factores Emisión EDGE'!$K$267:$L$272,2,FALSE)/1000</f>
        <v>#NAME?</v>
      </c>
    </row>
    <row r="356" spans="1:12">
      <c r="A356" s="1314">
        <v>44650.525633495374</v>
      </c>
      <c r="B356" s="1310" t="s">
        <v>2633</v>
      </c>
      <c r="C356" s="1310" t="s">
        <v>2634</v>
      </c>
      <c r="D356" s="1310" t="s">
        <v>1951</v>
      </c>
      <c r="E356" s="1310" t="s">
        <v>1955</v>
      </c>
      <c r="F356" s="1310" t="e">
        <f t="array" aca="1" ref="F356" ca="1">+_xludf.IFS(E356="50% teletrabajo",0.5, E356="25% teletrabajo",0.75,E356="75% teletrabajo",0.25,E356="100% teletrabajo",0,E356="100% trabajo presencial",1)</f>
        <v>#NAME?</v>
      </c>
      <c r="G356" s="1310" t="s">
        <v>1952</v>
      </c>
      <c r="H356" s="1310" t="e">
        <f t="array" aca="1" ref="H356" ca="1">+_xludf.IFS(G356="Vehículo - Uso individual","Auto",G356="Vehículo - Uso compartido","Auto",G356="Transporte público","Bus",G356="Moto","Moto",G356="Bicicleta o caminando","Bicicleta")</f>
        <v>#NAME?</v>
      </c>
      <c r="I356" s="1310">
        <v>1</v>
      </c>
      <c r="J356" s="1310">
        <v>19</v>
      </c>
      <c r="K356" s="1312" t="e">
        <f t="shared" ca="1" si="12"/>
        <v>#NAME?</v>
      </c>
      <c r="L356" s="1315" t="e">
        <f ca="1">+K356*I356*VLOOKUP(H356,'Factores Emisión EDGE'!$K$267:$L$272,2,FALSE)/1000</f>
        <v>#NAME?</v>
      </c>
    </row>
    <row r="357" spans="1:12">
      <c r="A357" s="1314">
        <v>44650.525765972227</v>
      </c>
      <c r="B357" s="1310" t="s">
        <v>2635</v>
      </c>
      <c r="C357" s="1310" t="s">
        <v>2636</v>
      </c>
      <c r="D357" s="1310" t="s">
        <v>1951</v>
      </c>
      <c r="E357" s="1310" t="s">
        <v>1955</v>
      </c>
      <c r="F357" s="1310" t="e">
        <f t="array" aca="1" ref="F357" ca="1">+_xludf.IFS(E357="50% teletrabajo",0.5, E357="25% teletrabajo",0.75,E357="75% teletrabajo",0.25,E357="100% teletrabajo",0,E357="100% trabajo presencial",1)</f>
        <v>#NAME?</v>
      </c>
      <c r="G357" s="1310" t="s">
        <v>1952</v>
      </c>
      <c r="H357" s="1310" t="e">
        <f t="array" aca="1" ref="H357" ca="1">+_xludf.IFS(G357="Vehículo - Uso individual","Auto",G357="Vehículo - Uso compartido","Auto",G357="Transporte público","Bus",G357="Moto","Moto",G357="Bicicleta o caminando","Bicicleta")</f>
        <v>#NAME?</v>
      </c>
      <c r="I357" s="1310">
        <v>1</v>
      </c>
      <c r="J357" s="1310">
        <v>37</v>
      </c>
      <c r="K357" s="1312" t="e">
        <f t="shared" ca="1" si="12"/>
        <v>#NAME?</v>
      </c>
      <c r="L357" s="1315" t="e">
        <f ca="1">+K357*I357*VLOOKUP(H357,'Factores Emisión EDGE'!$K$267:$L$272,2,FALSE)/1000</f>
        <v>#NAME?</v>
      </c>
    </row>
    <row r="358" spans="1:12">
      <c r="A358" s="1314">
        <v>44650.526874189818</v>
      </c>
      <c r="B358" s="1310" t="s">
        <v>2637</v>
      </c>
      <c r="C358" s="1310" t="s">
        <v>2638</v>
      </c>
      <c r="D358" s="1310" t="s">
        <v>1951</v>
      </c>
      <c r="E358" s="1310" t="s">
        <v>1960</v>
      </c>
      <c r="F358" s="1310" t="e">
        <f t="array" aca="1" ref="F358" ca="1">+_xludf.IFS(E358="50% teletrabajo",0.5, E358="25% teletrabajo",0.75,E358="75% teletrabajo",0.25,E358="100% teletrabajo",0,E358="100% trabajo presencial",1)</f>
        <v>#NAME?</v>
      </c>
      <c r="G358" s="1310" t="s">
        <v>2356</v>
      </c>
      <c r="H358" s="1310" t="e">
        <f t="array" aca="1" ref="H358" ca="1">+_xludf.IFS(G358="Vehículo - Uso individual","Auto",G358="Vehículo - Uso compartido","Auto",G358="Transporte público","Bus",G358="Moto","Moto",G358="Bicicleta o caminando","Bicicleta")</f>
        <v>#NAME?</v>
      </c>
      <c r="I358" s="1310">
        <v>1</v>
      </c>
      <c r="J358" s="1312"/>
      <c r="K358" s="1312" t="e">
        <f t="shared" ca="1" si="12"/>
        <v>#NAME?</v>
      </c>
      <c r="L358" s="1315"/>
    </row>
    <row r="359" spans="1:12">
      <c r="A359" s="1314">
        <v>44650.528178078705</v>
      </c>
      <c r="B359" s="1310" t="s">
        <v>2639</v>
      </c>
      <c r="C359" s="1310" t="s">
        <v>2640</v>
      </c>
      <c r="D359" s="1310" t="s">
        <v>1951</v>
      </c>
      <c r="E359" s="1310" t="s">
        <v>868</v>
      </c>
      <c r="F359" s="1310" t="e">
        <f t="array" aca="1" ref="F359" ca="1">+_xludf.IFS(E359="50% teletrabajo",0.5, E359="25% teletrabajo",0.75,E359="75% teletrabajo",0.25,E359="100% teletrabajo",0,E359="100% trabajo presencial",1)</f>
        <v>#NAME?</v>
      </c>
      <c r="G359" s="1310" t="s">
        <v>1995</v>
      </c>
      <c r="H359" s="1310" t="e">
        <f t="array" aca="1" ref="H359" ca="1">+_xludf.IFS(G359="Vehículo - Uso individual","Auto",G359="Vehículo - Uso compartido","Auto",G359="Transporte público","Bus",G359="Moto","Moto",G359="Bicicleta o caminando","Bicicleta")</f>
        <v>#NAME?</v>
      </c>
      <c r="I359" s="1310">
        <v>0.25</v>
      </c>
      <c r="J359" s="1310">
        <v>20</v>
      </c>
      <c r="K359" s="1312" t="e">
        <f t="shared" ca="1" si="12"/>
        <v>#NAME?</v>
      </c>
      <c r="L359" s="1315" t="e">
        <f ca="1">+K359*I359*VLOOKUP(H359,'Factores Emisión EDGE'!$K$267:$L$272,2,FALSE)/1000</f>
        <v>#NAME?</v>
      </c>
    </row>
    <row r="360" spans="1:12">
      <c r="A360" s="1314">
        <v>44650.528311030095</v>
      </c>
      <c r="B360" s="1310" t="s">
        <v>2247</v>
      </c>
      <c r="C360" s="1310" t="s">
        <v>2248</v>
      </c>
      <c r="D360" s="1310" t="s">
        <v>1951</v>
      </c>
      <c r="E360" s="1310" t="s">
        <v>1960</v>
      </c>
      <c r="F360" s="1310" t="e">
        <f t="array" aca="1" ref="F360" ca="1">+_xludf.IFS(E360="50% teletrabajo",0.5, E360="25% teletrabajo",0.75,E360="75% teletrabajo",0.25,E360="100% teletrabajo",0,E360="100% trabajo presencial",1)</f>
        <v>#NAME?</v>
      </c>
      <c r="G360" s="1310" t="s">
        <v>2356</v>
      </c>
      <c r="H360" s="1310" t="e">
        <f t="array" aca="1" ref="H360" ca="1">+_xludf.IFS(G360="Vehículo - Uso individual","Auto",G360="Vehículo - Uso compartido","Auto",G360="Transporte público","Bus",G360="Moto","Moto",G360="Bicicleta o caminando","Bicicleta")</f>
        <v>#NAME?</v>
      </c>
      <c r="I360" s="1310">
        <v>1</v>
      </c>
      <c r="J360" s="1312"/>
      <c r="K360" s="1312" t="e">
        <f t="shared" ca="1" si="12"/>
        <v>#NAME?</v>
      </c>
      <c r="L360" s="1315"/>
    </row>
    <row r="361" spans="1:12">
      <c r="A361" s="1314">
        <v>44650.52915905093</v>
      </c>
      <c r="B361" s="1310" t="s">
        <v>2641</v>
      </c>
      <c r="C361" s="1310" t="s">
        <v>2642</v>
      </c>
      <c r="D361" s="1310" t="s">
        <v>1951</v>
      </c>
      <c r="E361" s="1310" t="s">
        <v>1965</v>
      </c>
      <c r="F361" s="1310" t="e">
        <f t="array" aca="1" ref="F361" ca="1">+_xludf.IFS(E361="50% teletrabajo",0.5, E361="25% teletrabajo",0.75,E361="75% teletrabajo",0.25,E361="100% teletrabajo",0,E361="100% trabajo presencial",1)</f>
        <v>#NAME?</v>
      </c>
      <c r="G361" s="1310" t="s">
        <v>1952</v>
      </c>
      <c r="H361" s="1310" t="e">
        <f t="array" aca="1" ref="H361" ca="1">+_xludf.IFS(G361="Vehículo - Uso individual","Auto",G361="Vehículo - Uso compartido","Auto",G361="Transporte público","Bus",G361="Moto","Moto",G361="Bicicleta o caminando","Bicicleta")</f>
        <v>#NAME?</v>
      </c>
      <c r="I361" s="1310">
        <v>1</v>
      </c>
      <c r="J361" s="1310">
        <v>10.3</v>
      </c>
      <c r="K361" s="1312" t="e">
        <f t="shared" ca="1" si="12"/>
        <v>#NAME?</v>
      </c>
      <c r="L361" s="1315" t="e">
        <f ca="1">+K361*I361*VLOOKUP(H361,'Factores Emisión EDGE'!$K$267:$L$272,2,FALSE)/1000</f>
        <v>#NAME?</v>
      </c>
    </row>
    <row r="362" spans="1:12">
      <c r="A362" s="1314">
        <v>44650.530071562505</v>
      </c>
      <c r="B362" s="1310" t="s">
        <v>2643</v>
      </c>
      <c r="C362" s="1310" t="s">
        <v>2644</v>
      </c>
      <c r="D362" s="1310" t="s">
        <v>1951</v>
      </c>
      <c r="E362" s="1310" t="s">
        <v>1965</v>
      </c>
      <c r="F362" s="1310" t="e">
        <f t="array" aca="1" ref="F362" ca="1">+_xludf.IFS(E362="50% teletrabajo",0.5, E362="25% teletrabajo",0.75,E362="75% teletrabajo",0.25,E362="100% teletrabajo",0,E362="100% trabajo presencial",1)</f>
        <v>#NAME?</v>
      </c>
      <c r="G362" s="1310" t="s">
        <v>1952</v>
      </c>
      <c r="H362" s="1310" t="e">
        <f t="array" aca="1" ref="H362" ca="1">+_xludf.IFS(G362="Vehículo - Uso individual","Auto",G362="Vehículo - Uso compartido","Auto",G362="Transporte público","Bus",G362="Moto","Moto",G362="Bicicleta o caminando","Bicicleta")</f>
        <v>#NAME?</v>
      </c>
      <c r="I362" s="1310">
        <v>1</v>
      </c>
      <c r="J362" s="1310">
        <v>5</v>
      </c>
      <c r="K362" s="1312" t="e">
        <f t="shared" ca="1" si="12"/>
        <v>#NAME?</v>
      </c>
      <c r="L362" s="1315" t="e">
        <f ca="1">+K362*I362*VLOOKUP(H362,'Factores Emisión EDGE'!$K$267:$L$272,2,FALSE)/1000</f>
        <v>#NAME?</v>
      </c>
    </row>
    <row r="363" spans="1:12">
      <c r="A363" s="1314">
        <v>44650.532274756944</v>
      </c>
      <c r="B363" s="1310" t="s">
        <v>2645</v>
      </c>
      <c r="C363" s="1310" t="s">
        <v>2646</v>
      </c>
      <c r="D363" s="1310" t="s">
        <v>1951</v>
      </c>
      <c r="E363" s="1310" t="s">
        <v>1960</v>
      </c>
      <c r="F363" s="1310" t="e">
        <f t="array" aca="1" ref="F363" ca="1">+_xludf.IFS(E363="50% teletrabajo",0.5, E363="25% teletrabajo",0.75,E363="75% teletrabajo",0.25,E363="100% teletrabajo",0,E363="100% trabajo presencial",1)</f>
        <v>#NAME?</v>
      </c>
      <c r="G363" s="1310" t="s">
        <v>2356</v>
      </c>
      <c r="H363" s="1310" t="e">
        <f t="array" aca="1" ref="H363" ca="1">+_xludf.IFS(G363="Vehículo - Uso individual","Auto",G363="Vehículo - Uso compartido","Auto",G363="Transporte público","Bus",G363="Moto","Moto",G363="Bicicleta o caminando","Bicicleta")</f>
        <v>#NAME?</v>
      </c>
      <c r="I363" s="1310">
        <v>1</v>
      </c>
      <c r="J363" s="1312"/>
      <c r="K363" s="1312" t="e">
        <f t="shared" ca="1" si="12"/>
        <v>#NAME?</v>
      </c>
      <c r="L363" s="1315"/>
    </row>
    <row r="364" spans="1:12">
      <c r="A364" s="1314">
        <v>44650.533196863427</v>
      </c>
      <c r="B364" s="1310" t="s">
        <v>2647</v>
      </c>
      <c r="C364" s="1310" t="s">
        <v>2648</v>
      </c>
      <c r="D364" s="1310" t="s">
        <v>1951</v>
      </c>
      <c r="E364" s="1310" t="s">
        <v>868</v>
      </c>
      <c r="F364" s="1310" t="e">
        <f t="array" aca="1" ref="F364" ca="1">+_xludf.IFS(E364="50% teletrabajo",0.5, E364="25% teletrabajo",0.75,E364="75% teletrabajo",0.25,E364="100% teletrabajo",0,E364="100% trabajo presencial",1)</f>
        <v>#NAME?</v>
      </c>
      <c r="G364" s="1310" t="s">
        <v>1964</v>
      </c>
      <c r="H364" s="1310" t="e">
        <f t="array" aca="1" ref="H364" ca="1">+_xludf.IFS(G364="Vehículo - Uso individual","Auto",G364="Vehículo - Uso compartido","Auto",G364="Transporte público","Bus",G364="Moto","Moto",G364="Bicicleta o caminando","Bicicleta")</f>
        <v>#NAME?</v>
      </c>
      <c r="I364" s="1310">
        <v>1</v>
      </c>
      <c r="J364" s="1310">
        <v>22</v>
      </c>
      <c r="K364" s="1312" t="e">
        <f t="shared" ca="1" si="12"/>
        <v>#NAME?</v>
      </c>
      <c r="L364" s="1315" t="e">
        <f ca="1">+K364*I364*VLOOKUP(H364,'Factores Emisión EDGE'!$K$267:$L$272,2,FALSE)/1000</f>
        <v>#NAME?</v>
      </c>
    </row>
    <row r="365" spans="1:12">
      <c r="A365" s="1314">
        <v>44650.533490208334</v>
      </c>
      <c r="B365" s="1310" t="s">
        <v>2649</v>
      </c>
      <c r="C365" s="1310" t="s">
        <v>2650</v>
      </c>
      <c r="D365" s="1310" t="s">
        <v>1951</v>
      </c>
      <c r="E365" s="1310" t="s">
        <v>1955</v>
      </c>
      <c r="F365" s="1310" t="e">
        <f t="array" aca="1" ref="F365" ca="1">+_xludf.IFS(E365="50% teletrabajo",0.5, E365="25% teletrabajo",0.75,E365="75% teletrabajo",0.25,E365="100% teletrabajo",0,E365="100% trabajo presencial",1)</f>
        <v>#NAME?</v>
      </c>
      <c r="G365" s="1310" t="s">
        <v>1964</v>
      </c>
      <c r="H365" s="1310" t="e">
        <f t="array" aca="1" ref="H365" ca="1">+_xludf.IFS(G365="Vehículo - Uso individual","Auto",G365="Vehículo - Uso compartido","Auto",G365="Transporte público","Bus",G365="Moto","Moto",G365="Bicicleta o caminando","Bicicleta")</f>
        <v>#NAME?</v>
      </c>
      <c r="I365" s="1310">
        <v>1</v>
      </c>
      <c r="J365" s="1310">
        <v>24</v>
      </c>
      <c r="K365" s="1312" t="e">
        <f t="shared" ca="1" si="12"/>
        <v>#NAME?</v>
      </c>
      <c r="L365" s="1315" t="e">
        <f ca="1">+K365*I365*VLOOKUP(H365,'Factores Emisión EDGE'!$K$267:$L$272,2,FALSE)/1000</f>
        <v>#NAME?</v>
      </c>
    </row>
    <row r="366" spans="1:12">
      <c r="A366" s="1314">
        <v>44650.533617870373</v>
      </c>
      <c r="B366" s="1310" t="s">
        <v>2058</v>
      </c>
      <c r="C366" s="1310" t="s">
        <v>2059</v>
      </c>
      <c r="D366" s="1310" t="s">
        <v>1951</v>
      </c>
      <c r="E366" s="1310" t="s">
        <v>872</v>
      </c>
      <c r="F366" s="1310" t="e">
        <f t="array" aca="1" ref="F366" ca="1">+_xludf.IFS(E366="50% teletrabajo",0.5, E366="25% teletrabajo",0.75,E366="75% teletrabajo",0.25,E366="100% teletrabajo",0,E366="100% trabajo presencial",1)</f>
        <v>#NAME?</v>
      </c>
      <c r="G366" s="1310" t="s">
        <v>1952</v>
      </c>
      <c r="H366" s="1310" t="e">
        <f t="array" aca="1" ref="H366" ca="1">+_xludf.IFS(G366="Vehículo - Uso individual","Auto",G366="Vehículo - Uso compartido","Auto",G366="Transporte público","Bus",G366="Moto","Moto",G366="Bicicleta o caminando","Bicicleta")</f>
        <v>#NAME?</v>
      </c>
      <c r="I366" s="1310">
        <v>1</v>
      </c>
      <c r="J366" s="1319">
        <v>4000</v>
      </c>
      <c r="K366" s="1312" t="e">
        <f ca="1">+J366*F366</f>
        <v>#NAME?</v>
      </c>
      <c r="L366" s="1315" t="e">
        <f ca="1">+K366*I366*VLOOKUP(H366,'Factores Emisión EDGE'!$K$267:$L$272,2,FALSE)/1000</f>
        <v>#NAME?</v>
      </c>
    </row>
    <row r="367" spans="1:12">
      <c r="A367" s="1314">
        <v>44650.534426493061</v>
      </c>
      <c r="B367" s="1310" t="s">
        <v>2651</v>
      </c>
      <c r="C367" s="1310" t="s">
        <v>2118</v>
      </c>
      <c r="D367" s="1310" t="s">
        <v>1951</v>
      </c>
      <c r="E367" s="1310" t="s">
        <v>1960</v>
      </c>
      <c r="F367" s="1310" t="e">
        <f t="array" aca="1" ref="F367" ca="1">+_xludf.IFS(E367="50% teletrabajo",0.5, E367="25% teletrabajo",0.75,E367="75% teletrabajo",0.25,E367="100% teletrabajo",0,E367="100% trabajo presencial",1)</f>
        <v>#NAME?</v>
      </c>
      <c r="G367" s="1310" t="s">
        <v>2356</v>
      </c>
      <c r="H367" s="1310" t="e">
        <f t="array" aca="1" ref="H367" ca="1">+_xludf.IFS(G367="Vehículo - Uso individual","Auto",G367="Vehículo - Uso compartido","Auto",G367="Transporte público","Bus",G367="Moto","Moto",G367="Bicicleta o caminando","Bicicleta")</f>
        <v>#NAME?</v>
      </c>
      <c r="I367" s="1310">
        <v>1</v>
      </c>
      <c r="J367" s="1312"/>
      <c r="K367" s="1312" t="e">
        <f t="shared" ref="K367:K432" ca="1" si="13">+J367*5*50*2*F367</f>
        <v>#NAME?</v>
      </c>
      <c r="L367" s="1315"/>
    </row>
    <row r="368" spans="1:12">
      <c r="A368" s="1314">
        <v>44650.534960833334</v>
      </c>
      <c r="B368" s="1310" t="s">
        <v>2652</v>
      </c>
      <c r="C368" s="1310" t="s">
        <v>2653</v>
      </c>
      <c r="D368" s="1310" t="s">
        <v>1951</v>
      </c>
      <c r="E368" s="1310" t="s">
        <v>1965</v>
      </c>
      <c r="F368" s="1310" t="e">
        <f t="array" aca="1" ref="F368" ca="1">+_xludf.IFS(E368="50% teletrabajo",0.5, E368="25% teletrabajo",0.75,E368="75% teletrabajo",0.25,E368="100% teletrabajo",0,E368="100% trabajo presencial",1)</f>
        <v>#NAME?</v>
      </c>
      <c r="G368" s="1310" t="s">
        <v>1952</v>
      </c>
      <c r="H368" s="1310" t="e">
        <f t="array" aca="1" ref="H368" ca="1">+_xludf.IFS(G368="Vehículo - Uso individual","Auto",G368="Vehículo - Uso compartido","Auto",G368="Transporte público","Bus",G368="Moto","Moto",G368="Bicicleta o caminando","Bicicleta")</f>
        <v>#NAME?</v>
      </c>
      <c r="I368" s="1310">
        <v>1</v>
      </c>
      <c r="J368" s="1310">
        <v>16</v>
      </c>
      <c r="K368" s="1312" t="e">
        <f t="shared" ca="1" si="13"/>
        <v>#NAME?</v>
      </c>
      <c r="L368" s="1315" t="e">
        <f ca="1">+K368*I368*VLOOKUP(H368,'Factores Emisión EDGE'!$K$267:$L$272,2,FALSE)/1000</f>
        <v>#NAME?</v>
      </c>
    </row>
    <row r="369" spans="1:12">
      <c r="A369" s="1314">
        <v>44650.535460752319</v>
      </c>
      <c r="B369" s="1310" t="s">
        <v>2654</v>
      </c>
      <c r="C369" s="1310" t="s">
        <v>2655</v>
      </c>
      <c r="D369" s="1310" t="s">
        <v>1951</v>
      </c>
      <c r="E369" s="1310" t="s">
        <v>868</v>
      </c>
      <c r="F369" s="1310" t="e">
        <f t="array" aca="1" ref="F369" ca="1">+_xludf.IFS(E369="50% teletrabajo",0.5, E369="25% teletrabajo",0.75,E369="75% teletrabajo",0.25,E369="100% teletrabajo",0,E369="100% trabajo presencial",1)</f>
        <v>#NAME?</v>
      </c>
      <c r="G369" s="1310" t="s">
        <v>1952</v>
      </c>
      <c r="H369" s="1310" t="e">
        <f t="array" aca="1" ref="H369" ca="1">+_xludf.IFS(G369="Vehículo - Uso individual","Auto",G369="Vehículo - Uso compartido","Auto",G369="Transporte público","Bus",G369="Moto","Moto",G369="Bicicleta o caminando","Bicicleta")</f>
        <v>#NAME?</v>
      </c>
      <c r="I369" s="1310">
        <v>1</v>
      </c>
      <c r="J369" s="1310">
        <v>4</v>
      </c>
      <c r="K369" s="1312" t="e">
        <f t="shared" ca="1" si="13"/>
        <v>#NAME?</v>
      </c>
      <c r="L369" s="1315" t="e">
        <f ca="1">+K369*I369*VLOOKUP(H369,'Factores Emisión EDGE'!$K$267:$L$272,2,FALSE)/1000</f>
        <v>#NAME?</v>
      </c>
    </row>
    <row r="370" spans="1:12">
      <c r="A370" s="1314">
        <v>44650.536592326389</v>
      </c>
      <c r="B370" s="1310" t="s">
        <v>2130</v>
      </c>
      <c r="C370" s="1310" t="s">
        <v>2131</v>
      </c>
      <c r="D370" s="1310" t="s">
        <v>1951</v>
      </c>
      <c r="E370" s="1310" t="s">
        <v>1960</v>
      </c>
      <c r="F370" s="1310" t="e">
        <f t="array" aca="1" ref="F370" ca="1">+_xludf.IFS(E370="50% teletrabajo",0.5, E370="25% teletrabajo",0.75,E370="75% teletrabajo",0.25,E370="100% teletrabajo",0,E370="100% trabajo presencial",1)</f>
        <v>#NAME?</v>
      </c>
      <c r="G370" s="1310" t="s">
        <v>2356</v>
      </c>
      <c r="H370" s="1310" t="e">
        <f t="array" aca="1" ref="H370" ca="1">+_xludf.IFS(G370="Vehículo - Uso individual","Auto",G370="Vehículo - Uso compartido","Auto",G370="Transporte público","Bus",G370="Moto","Moto",G370="Bicicleta o caminando","Bicicleta")</f>
        <v>#NAME?</v>
      </c>
      <c r="I370" s="1310">
        <v>1</v>
      </c>
      <c r="J370" s="1312"/>
      <c r="K370" s="1312" t="e">
        <f t="shared" ca="1" si="13"/>
        <v>#NAME?</v>
      </c>
      <c r="L370" s="1315"/>
    </row>
    <row r="371" spans="1:12">
      <c r="A371" s="1314">
        <v>44650.537367199075</v>
      </c>
      <c r="B371" s="1310" t="s">
        <v>2656</v>
      </c>
      <c r="C371" s="1310" t="s">
        <v>2657</v>
      </c>
      <c r="D371" s="1310" t="s">
        <v>1951</v>
      </c>
      <c r="E371" s="1310" t="s">
        <v>1960</v>
      </c>
      <c r="F371" s="1310" t="e">
        <f t="array" aca="1" ref="F371" ca="1">+_xludf.IFS(E371="50% teletrabajo",0.5, E371="25% teletrabajo",0.75,E371="75% teletrabajo",0.25,E371="100% teletrabajo",0,E371="100% trabajo presencial",1)</f>
        <v>#NAME?</v>
      </c>
      <c r="G371" s="1310" t="s">
        <v>2356</v>
      </c>
      <c r="H371" s="1310" t="e">
        <f t="array" aca="1" ref="H371" ca="1">+_xludf.IFS(G371="Vehículo - Uso individual","Auto",G371="Vehículo - Uso compartido","Auto",G371="Transporte público","Bus",G371="Moto","Moto",G371="Bicicleta o caminando","Bicicleta")</f>
        <v>#NAME?</v>
      </c>
      <c r="I371" s="1310">
        <v>1</v>
      </c>
      <c r="J371" s="1312"/>
      <c r="K371" s="1312" t="e">
        <f t="shared" ca="1" si="13"/>
        <v>#NAME?</v>
      </c>
      <c r="L371" s="1315"/>
    </row>
    <row r="372" spans="1:12">
      <c r="A372" s="1314">
        <v>44650.537888993058</v>
      </c>
      <c r="B372" s="1310" t="s">
        <v>2658</v>
      </c>
      <c r="C372" s="1310" t="s">
        <v>2659</v>
      </c>
      <c r="D372" s="1310" t="s">
        <v>1951</v>
      </c>
      <c r="E372" s="1310" t="s">
        <v>868</v>
      </c>
      <c r="F372" s="1310" t="e">
        <f t="array" aca="1" ref="F372" ca="1">+_xludf.IFS(E372="50% teletrabajo",0.5, E372="25% teletrabajo",0.75,E372="75% teletrabajo",0.25,E372="100% teletrabajo",0,E372="100% trabajo presencial",1)</f>
        <v>#NAME?</v>
      </c>
      <c r="G372" s="1310" t="s">
        <v>1952</v>
      </c>
      <c r="H372" s="1310" t="e">
        <f t="array" aca="1" ref="H372" ca="1">+_xludf.IFS(G372="Vehículo - Uso individual","Auto",G372="Vehículo - Uso compartido","Auto",G372="Transporte público","Bus",G372="Moto","Moto",G372="Bicicleta o caminando","Bicicleta")</f>
        <v>#NAME?</v>
      </c>
      <c r="I372" s="1310">
        <v>1</v>
      </c>
      <c r="J372" s="1310">
        <v>60</v>
      </c>
      <c r="K372" s="1312" t="e">
        <f t="shared" ca="1" si="13"/>
        <v>#NAME?</v>
      </c>
      <c r="L372" s="1315" t="e">
        <f ca="1">+K372*I372*VLOOKUP(H372,'Factores Emisión EDGE'!$K$267:$L$272,2,FALSE)/1000</f>
        <v>#NAME?</v>
      </c>
    </row>
    <row r="373" spans="1:12">
      <c r="A373" s="1314">
        <v>44650.538024641202</v>
      </c>
      <c r="B373" s="1310" t="s">
        <v>2660</v>
      </c>
      <c r="C373" s="1310" t="s">
        <v>2661</v>
      </c>
      <c r="D373" s="1310" t="s">
        <v>1951</v>
      </c>
      <c r="E373" s="1310" t="s">
        <v>868</v>
      </c>
      <c r="F373" s="1310" t="e">
        <f t="array" aca="1" ref="F373" ca="1">+_xludf.IFS(E373="50% teletrabajo",0.5, E373="25% teletrabajo",0.75,E373="75% teletrabajo",0.25,E373="100% teletrabajo",0,E373="100% trabajo presencial",1)</f>
        <v>#NAME?</v>
      </c>
      <c r="G373" s="1310" t="s">
        <v>1952</v>
      </c>
      <c r="H373" s="1310" t="e">
        <f t="array" aca="1" ref="H373" ca="1">+_xludf.IFS(G373="Vehículo - Uso individual","Auto",G373="Vehículo - Uso compartido","Auto",G373="Transporte público","Bus",G373="Moto","Moto",G373="Bicicleta o caminando","Bicicleta")</f>
        <v>#NAME?</v>
      </c>
      <c r="I373" s="1310">
        <v>1</v>
      </c>
      <c r="J373" s="1310">
        <v>1</v>
      </c>
      <c r="K373" s="1312" t="e">
        <f t="shared" ca="1" si="13"/>
        <v>#NAME?</v>
      </c>
      <c r="L373" s="1315" t="e">
        <f ca="1">+K373*I373*VLOOKUP(H373,'Factores Emisión EDGE'!$K$267:$L$272,2,FALSE)/1000</f>
        <v>#NAME?</v>
      </c>
    </row>
    <row r="374" spans="1:12">
      <c r="A374" s="1314">
        <v>44650.538236562497</v>
      </c>
      <c r="B374" s="1310" t="s">
        <v>2662</v>
      </c>
      <c r="C374" s="1310" t="s">
        <v>2663</v>
      </c>
      <c r="D374" s="1310" t="s">
        <v>1951</v>
      </c>
      <c r="E374" s="1310" t="s">
        <v>868</v>
      </c>
      <c r="F374" s="1310" t="e">
        <f t="array" aca="1" ref="F374" ca="1">+_xludf.IFS(E374="50% teletrabajo",0.5, E374="25% teletrabajo",0.75,E374="75% teletrabajo",0.25,E374="100% teletrabajo",0,E374="100% trabajo presencial",1)</f>
        <v>#NAME?</v>
      </c>
      <c r="G374" s="1310" t="s">
        <v>1952</v>
      </c>
      <c r="H374" s="1310" t="e">
        <f t="array" aca="1" ref="H374" ca="1">+_xludf.IFS(G374="Vehículo - Uso individual","Auto",G374="Vehículo - Uso compartido","Auto",G374="Transporte público","Bus",G374="Moto","Moto",G374="Bicicleta o caminando","Bicicleta")</f>
        <v>#NAME?</v>
      </c>
      <c r="I374" s="1310">
        <v>1</v>
      </c>
      <c r="J374" s="1310">
        <v>21.4</v>
      </c>
      <c r="K374" s="1312" t="e">
        <f t="shared" ca="1" si="13"/>
        <v>#NAME?</v>
      </c>
      <c r="L374" s="1315" t="e">
        <f ca="1">+K374*I374*VLOOKUP(H374,'Factores Emisión EDGE'!$K$267:$L$272,2,FALSE)/1000</f>
        <v>#NAME?</v>
      </c>
    </row>
    <row r="375" spans="1:12">
      <c r="A375" s="1314">
        <v>44650.541502974535</v>
      </c>
      <c r="B375" s="1310" t="s">
        <v>2664</v>
      </c>
      <c r="C375" s="1310" t="s">
        <v>2665</v>
      </c>
      <c r="D375" s="1310" t="s">
        <v>1951</v>
      </c>
      <c r="E375" s="1310" t="s">
        <v>1955</v>
      </c>
      <c r="F375" s="1310" t="e">
        <f t="array" aca="1" ref="F375" ca="1">+_xludf.IFS(E375="50% teletrabajo",0.5, E375="25% teletrabajo",0.75,E375="75% teletrabajo",0.25,E375="100% teletrabajo",0,E375="100% trabajo presencial",1)</f>
        <v>#NAME?</v>
      </c>
      <c r="G375" s="1310" t="s">
        <v>1952</v>
      </c>
      <c r="H375" s="1310" t="e">
        <f t="array" aca="1" ref="H375" ca="1">+_xludf.IFS(G375="Vehículo - Uso individual","Auto",G375="Vehículo - Uso compartido","Auto",G375="Transporte público","Bus",G375="Moto","Moto",G375="Bicicleta o caminando","Bicicleta")</f>
        <v>#NAME?</v>
      </c>
      <c r="I375" s="1310">
        <v>1</v>
      </c>
      <c r="J375" s="1310">
        <v>25</v>
      </c>
      <c r="K375" s="1312" t="e">
        <f t="shared" ca="1" si="13"/>
        <v>#NAME?</v>
      </c>
      <c r="L375" s="1315" t="e">
        <f ca="1">+K375*I375*VLOOKUP(H375,'Factores Emisión EDGE'!$K$267:$L$272,2,FALSE)/1000</f>
        <v>#NAME?</v>
      </c>
    </row>
    <row r="376" spans="1:12">
      <c r="A376" s="1314">
        <v>44650.543034675924</v>
      </c>
      <c r="B376" s="1310" t="s">
        <v>2359</v>
      </c>
      <c r="C376" s="1310" t="s">
        <v>2666</v>
      </c>
      <c r="D376" s="1310" t="s">
        <v>1951</v>
      </c>
      <c r="E376" s="1310" t="s">
        <v>868</v>
      </c>
      <c r="F376" s="1310" t="e">
        <f t="array" aca="1" ref="F376" ca="1">+_xludf.IFS(E376="50% teletrabajo",0.5, E376="25% teletrabajo",0.75,E376="75% teletrabajo",0.25,E376="100% teletrabajo",0,E376="100% trabajo presencial",1)</f>
        <v>#NAME?</v>
      </c>
      <c r="G376" s="1310" t="s">
        <v>1952</v>
      </c>
      <c r="H376" s="1310" t="e">
        <f t="array" aca="1" ref="H376" ca="1">+_xludf.IFS(G376="Vehículo - Uso individual","Auto",G376="Vehículo - Uso compartido","Auto",G376="Transporte público","Bus",G376="Moto","Moto",G376="Bicicleta o caminando","Bicicleta")</f>
        <v>#NAME?</v>
      </c>
      <c r="I376" s="1310">
        <v>1</v>
      </c>
      <c r="J376" s="1310">
        <v>12</v>
      </c>
      <c r="K376" s="1312" t="e">
        <f t="shared" ca="1" si="13"/>
        <v>#NAME?</v>
      </c>
      <c r="L376" s="1315" t="e">
        <f ca="1">+K376*I376*VLOOKUP(H376,'Factores Emisión EDGE'!$K$267:$L$272,2,FALSE)/1000</f>
        <v>#NAME?</v>
      </c>
    </row>
    <row r="377" spans="1:12">
      <c r="A377" s="1314">
        <v>44650.544486168983</v>
      </c>
      <c r="B377" s="1310" t="s">
        <v>2667</v>
      </c>
      <c r="C377" s="1310" t="s">
        <v>2668</v>
      </c>
      <c r="D377" s="1310" t="s">
        <v>1951</v>
      </c>
      <c r="E377" s="1310" t="s">
        <v>1960</v>
      </c>
      <c r="F377" s="1310" t="e">
        <f t="array" aca="1" ref="F377" ca="1">+_xludf.IFS(E377="50% teletrabajo",0.5, E377="25% teletrabajo",0.75,E377="75% teletrabajo",0.25,E377="100% teletrabajo",0,E377="100% trabajo presencial",1)</f>
        <v>#NAME?</v>
      </c>
      <c r="G377" s="1310" t="s">
        <v>2356</v>
      </c>
      <c r="H377" s="1310" t="e">
        <f t="array" aca="1" ref="H377" ca="1">+_xludf.IFS(G377="Vehículo - Uso individual","Auto",G377="Vehículo - Uso compartido","Auto",G377="Transporte público","Bus",G377="Moto","Moto",G377="Bicicleta o caminando","Bicicleta")</f>
        <v>#NAME?</v>
      </c>
      <c r="I377" s="1310">
        <v>1</v>
      </c>
      <c r="J377" s="1312"/>
      <c r="K377" s="1312" t="e">
        <f t="shared" ca="1" si="13"/>
        <v>#NAME?</v>
      </c>
      <c r="L377" s="1315"/>
    </row>
    <row r="378" spans="1:12">
      <c r="A378" s="1314">
        <v>44650.545677847222</v>
      </c>
      <c r="B378" s="1310" t="s">
        <v>2669</v>
      </c>
      <c r="C378" s="1310" t="s">
        <v>2670</v>
      </c>
      <c r="D378" s="1310" t="s">
        <v>1951</v>
      </c>
      <c r="E378" s="1310" t="s">
        <v>868</v>
      </c>
      <c r="F378" s="1310" t="e">
        <f t="array" aca="1" ref="F378" ca="1">+_xludf.IFS(E378="50% teletrabajo",0.5, E378="25% teletrabajo",0.75,E378="75% teletrabajo",0.25,E378="100% teletrabajo",0,E378="100% trabajo presencial",1)</f>
        <v>#NAME?</v>
      </c>
      <c r="G378" s="1310" t="s">
        <v>1952</v>
      </c>
      <c r="H378" s="1310" t="e">
        <f t="array" aca="1" ref="H378" ca="1">+_xludf.IFS(G378="Vehículo - Uso individual","Auto",G378="Vehículo - Uso compartido","Auto",G378="Transporte público","Bus",G378="Moto","Moto",G378="Bicicleta o caminando","Bicicleta")</f>
        <v>#NAME?</v>
      </c>
      <c r="I378" s="1310">
        <v>1</v>
      </c>
      <c r="J378" s="1310">
        <v>15</v>
      </c>
      <c r="K378" s="1312" t="e">
        <f t="shared" ca="1" si="13"/>
        <v>#NAME?</v>
      </c>
      <c r="L378" s="1315" t="e">
        <f ca="1">+K378*I378*VLOOKUP(H378,'Factores Emisión EDGE'!$K$267:$L$272,2,FALSE)/1000</f>
        <v>#NAME?</v>
      </c>
    </row>
    <row r="379" spans="1:12">
      <c r="A379" s="1314">
        <v>44650.546085335649</v>
      </c>
      <c r="B379" s="1310" t="s">
        <v>2671</v>
      </c>
      <c r="C379" s="1310" t="s">
        <v>2672</v>
      </c>
      <c r="D379" s="1310" t="s">
        <v>1951</v>
      </c>
      <c r="E379" s="1310" t="s">
        <v>1965</v>
      </c>
      <c r="F379" s="1310" t="e">
        <f t="array" aca="1" ref="F379" ca="1">+_xludf.IFS(E379="50% teletrabajo",0.5, E379="25% teletrabajo",0.75,E379="75% teletrabajo",0.25,E379="100% teletrabajo",0,E379="100% trabajo presencial",1)</f>
        <v>#NAME?</v>
      </c>
      <c r="G379" s="1310" t="s">
        <v>1995</v>
      </c>
      <c r="H379" s="1310" t="e">
        <f t="array" aca="1" ref="H379" ca="1">+_xludf.IFS(G379="Vehículo - Uso individual","Auto",G379="Vehículo - Uso compartido","Auto",G379="Transporte público","Bus",G379="Moto","Moto",G379="Bicicleta o caminando","Bicicleta")</f>
        <v>#NAME?</v>
      </c>
      <c r="I379" s="1310">
        <v>0.25</v>
      </c>
      <c r="J379" s="1310">
        <v>48</v>
      </c>
      <c r="K379" s="1312" t="e">
        <f t="shared" ca="1" si="13"/>
        <v>#NAME?</v>
      </c>
      <c r="L379" s="1315" t="e">
        <f ca="1">+K379*I379*VLOOKUP(H379,'Factores Emisión EDGE'!$K$267:$L$272,2,FALSE)/1000</f>
        <v>#NAME?</v>
      </c>
    </row>
    <row r="380" spans="1:12">
      <c r="A380" s="1314">
        <v>44650.54673746528</v>
      </c>
      <c r="B380" s="1310" t="s">
        <v>2673</v>
      </c>
      <c r="C380" s="1310" t="s">
        <v>2674</v>
      </c>
      <c r="D380" s="1310" t="s">
        <v>2066</v>
      </c>
      <c r="E380" s="1310" t="s">
        <v>868</v>
      </c>
      <c r="F380" s="1310" t="e">
        <f t="array" aca="1" ref="F380" ca="1">+_xludf.IFS(E380="50% teletrabajo",0.5, E380="25% teletrabajo",0.75,E380="75% teletrabajo",0.25,E380="100% teletrabajo",0,E380="100% trabajo presencial",1)</f>
        <v>#NAME?</v>
      </c>
      <c r="G380" s="1310" t="s">
        <v>1964</v>
      </c>
      <c r="H380" s="1310" t="e">
        <f t="array" aca="1" ref="H380" ca="1">+_xludf.IFS(G380="Vehículo - Uso individual","Auto",G380="Vehículo - Uso compartido","Auto",G380="Transporte público","Bus",G380="Moto","Moto",G380="Bicicleta o caminando","Bicicleta")</f>
        <v>#NAME?</v>
      </c>
      <c r="I380" s="1310">
        <v>1</v>
      </c>
      <c r="J380" s="1310">
        <v>15.8</v>
      </c>
      <c r="K380" s="1312" t="e">
        <f t="shared" ca="1" si="13"/>
        <v>#NAME?</v>
      </c>
      <c r="L380" s="1315" t="e">
        <f ca="1">+K380*I380*VLOOKUP(H380,'Factores Emisión EDGE'!$K$267:$L$272,2,FALSE)/1000</f>
        <v>#NAME?</v>
      </c>
    </row>
    <row r="381" spans="1:12">
      <c r="A381" s="1314">
        <v>44650.547541412037</v>
      </c>
      <c r="B381" s="1310" t="s">
        <v>2675</v>
      </c>
      <c r="C381" s="1310" t="s">
        <v>2676</v>
      </c>
      <c r="D381" s="1310" t="s">
        <v>1951</v>
      </c>
      <c r="E381" s="1310" t="s">
        <v>1960</v>
      </c>
      <c r="F381" s="1310" t="e">
        <f t="array" aca="1" ref="F381" ca="1">+_xludf.IFS(E381="50% teletrabajo",0.5, E381="25% teletrabajo",0.75,E381="75% teletrabajo",0.25,E381="100% teletrabajo",0,E381="100% trabajo presencial",1)</f>
        <v>#NAME?</v>
      </c>
      <c r="G381" s="1310" t="s">
        <v>2356</v>
      </c>
      <c r="H381" s="1310" t="e">
        <f t="array" aca="1" ref="H381" ca="1">+_xludf.IFS(G381="Vehículo - Uso individual","Auto",G381="Vehículo - Uso compartido","Auto",G381="Transporte público","Bus",G381="Moto","Moto",G381="Bicicleta o caminando","Bicicleta")</f>
        <v>#NAME?</v>
      </c>
      <c r="I381" s="1310">
        <v>1</v>
      </c>
      <c r="J381" s="1312"/>
      <c r="K381" s="1312" t="e">
        <f t="shared" ca="1" si="13"/>
        <v>#NAME?</v>
      </c>
      <c r="L381" s="1315"/>
    </row>
    <row r="382" spans="1:12">
      <c r="A382" s="1314">
        <v>44650.549884537038</v>
      </c>
      <c r="B382" s="1310" t="s">
        <v>2677</v>
      </c>
      <c r="C382" s="1310" t="s">
        <v>2678</v>
      </c>
      <c r="D382" s="1310" t="s">
        <v>1951</v>
      </c>
      <c r="E382" s="1310" t="s">
        <v>868</v>
      </c>
      <c r="F382" s="1310" t="e">
        <f t="array" aca="1" ref="F382" ca="1">+_xludf.IFS(E382="50% teletrabajo",0.5, E382="25% teletrabajo",0.75,E382="75% teletrabajo",0.25,E382="100% teletrabajo",0,E382="100% trabajo presencial",1)</f>
        <v>#NAME?</v>
      </c>
      <c r="G382" s="1310" t="s">
        <v>1983</v>
      </c>
      <c r="H382" s="1310" t="e">
        <f t="array" aca="1" ref="H382" ca="1">+_xludf.IFS(G382="Vehículo - Uso individual","Auto",G382="Vehículo - Uso compartido","Auto",G382="Transporte público","Bus",G382="Moto","Moto",G382="Bicicleta o caminando","Bicicleta")</f>
        <v>#NAME?</v>
      </c>
      <c r="I382" s="1310">
        <v>1</v>
      </c>
      <c r="J382" s="1310">
        <v>2.5</v>
      </c>
      <c r="K382" s="1312" t="e">
        <f t="shared" ca="1" si="13"/>
        <v>#NAME?</v>
      </c>
      <c r="L382" s="1315" t="e">
        <f ca="1">+K382*I382*VLOOKUP(H382,'Factores Emisión EDGE'!$K$267:$L$272,2,FALSE)/1000</f>
        <v>#NAME?</v>
      </c>
    </row>
    <row r="383" spans="1:12">
      <c r="A383" s="1314">
        <v>44650.558479525462</v>
      </c>
      <c r="B383" s="1310" t="s">
        <v>2481</v>
      </c>
      <c r="C383" s="1310" t="s">
        <v>2482</v>
      </c>
      <c r="D383" s="1310" t="s">
        <v>1951</v>
      </c>
      <c r="E383" s="1310" t="s">
        <v>868</v>
      </c>
      <c r="F383" s="1310" t="e">
        <f t="array" aca="1" ref="F383" ca="1">+_xludf.IFS(E383="50% teletrabajo",0.5, E383="25% teletrabajo",0.75,E383="75% teletrabajo",0.25,E383="100% teletrabajo",0,E383="100% trabajo presencial",1)</f>
        <v>#NAME?</v>
      </c>
      <c r="G383" s="1310" t="s">
        <v>1964</v>
      </c>
      <c r="H383" s="1310" t="e">
        <f t="array" aca="1" ref="H383" ca="1">+_xludf.IFS(G383="Vehículo - Uso individual","Auto",G383="Vehículo - Uso compartido","Auto",G383="Transporte público","Bus",G383="Moto","Moto",G383="Bicicleta o caminando","Bicicleta")</f>
        <v>#NAME?</v>
      </c>
      <c r="I383" s="1310">
        <v>1</v>
      </c>
      <c r="J383" s="1310">
        <v>15</v>
      </c>
      <c r="K383" s="1312" t="e">
        <f t="shared" ca="1" si="13"/>
        <v>#NAME?</v>
      </c>
      <c r="L383" s="1315" t="e">
        <f ca="1">+K383*I383*VLOOKUP(H383,'Factores Emisión EDGE'!$K$267:$L$272,2,FALSE)/1000</f>
        <v>#NAME?</v>
      </c>
    </row>
    <row r="384" spans="1:12">
      <c r="A384" s="1314">
        <v>44650.558782453707</v>
      </c>
      <c r="B384" s="1310" t="s">
        <v>2679</v>
      </c>
      <c r="C384" s="1310" t="s">
        <v>2680</v>
      </c>
      <c r="D384" s="1310" t="s">
        <v>1951</v>
      </c>
      <c r="E384" s="1310" t="s">
        <v>868</v>
      </c>
      <c r="F384" s="1310" t="e">
        <f t="array" aca="1" ref="F384" ca="1">+_xludf.IFS(E384="50% teletrabajo",0.5, E384="25% teletrabajo",0.75,E384="75% teletrabajo",0.25,E384="100% teletrabajo",0,E384="100% trabajo presencial",1)</f>
        <v>#NAME?</v>
      </c>
      <c r="G384" s="1310" t="s">
        <v>1952</v>
      </c>
      <c r="H384" s="1310" t="e">
        <f t="array" aca="1" ref="H384" ca="1">+_xludf.IFS(G384="Vehículo - Uso individual","Auto",G384="Vehículo - Uso compartido","Auto",G384="Transporte público","Bus",G384="Moto","Moto",G384="Bicicleta o caminando","Bicicleta")</f>
        <v>#NAME?</v>
      </c>
      <c r="I384" s="1310">
        <v>1</v>
      </c>
      <c r="J384" s="1310">
        <v>12.6</v>
      </c>
      <c r="K384" s="1312" t="e">
        <f t="shared" ca="1" si="13"/>
        <v>#NAME?</v>
      </c>
      <c r="L384" s="1315" t="e">
        <f ca="1">+K384*I384*VLOOKUP(H384,'Factores Emisión EDGE'!$K$267:$L$272,2,FALSE)/1000</f>
        <v>#NAME?</v>
      </c>
    </row>
    <row r="385" spans="1:12">
      <c r="A385" s="1314">
        <v>44650.562753715276</v>
      </c>
      <c r="B385" s="1310" t="s">
        <v>2681</v>
      </c>
      <c r="C385" s="1310" t="s">
        <v>2682</v>
      </c>
      <c r="D385" s="1310" t="s">
        <v>1951</v>
      </c>
      <c r="E385" s="1310" t="s">
        <v>868</v>
      </c>
      <c r="F385" s="1310" t="e">
        <f t="array" aca="1" ref="F385" ca="1">+_xludf.IFS(E385="50% teletrabajo",0.5, E385="25% teletrabajo",0.75,E385="75% teletrabajo",0.25,E385="100% teletrabajo",0,E385="100% trabajo presencial",1)</f>
        <v>#NAME?</v>
      </c>
      <c r="G385" s="1310" t="s">
        <v>1952</v>
      </c>
      <c r="H385" s="1310" t="e">
        <f t="array" aca="1" ref="H385" ca="1">+_xludf.IFS(G385="Vehículo - Uso individual","Auto",G385="Vehículo - Uso compartido","Auto",G385="Transporte público","Bus",G385="Moto","Moto",G385="Bicicleta o caminando","Bicicleta")</f>
        <v>#NAME?</v>
      </c>
      <c r="I385" s="1310">
        <v>1</v>
      </c>
      <c r="J385" s="1310">
        <v>12</v>
      </c>
      <c r="K385" s="1312" t="e">
        <f t="shared" ca="1" si="13"/>
        <v>#NAME?</v>
      </c>
      <c r="L385" s="1315" t="e">
        <f ca="1">+K385*I385*VLOOKUP(H385,'Factores Emisión EDGE'!$K$267:$L$272,2,FALSE)/1000</f>
        <v>#NAME?</v>
      </c>
    </row>
    <row r="386" spans="1:12">
      <c r="A386" s="1314">
        <v>44650.562910416666</v>
      </c>
      <c r="B386" s="1310" t="s">
        <v>2683</v>
      </c>
      <c r="C386" s="1310" t="s">
        <v>2684</v>
      </c>
      <c r="D386" s="1310" t="s">
        <v>1951</v>
      </c>
      <c r="E386" s="1310" t="s">
        <v>1960</v>
      </c>
      <c r="F386" s="1310" t="e">
        <f t="array" aca="1" ref="F386" ca="1">+_xludf.IFS(E386="50% teletrabajo",0.5, E386="25% teletrabajo",0.75,E386="75% teletrabajo",0.25,E386="100% teletrabajo",0,E386="100% trabajo presencial",1)</f>
        <v>#NAME?</v>
      </c>
      <c r="G386" s="1310" t="s">
        <v>2356</v>
      </c>
      <c r="H386" s="1310" t="e">
        <f t="array" aca="1" ref="H386" ca="1">+_xludf.IFS(G386="Vehículo - Uso individual","Auto",G386="Vehículo - Uso compartido","Auto",G386="Transporte público","Bus",G386="Moto","Moto",G386="Bicicleta o caminando","Bicicleta")</f>
        <v>#NAME?</v>
      </c>
      <c r="I386" s="1310">
        <v>1</v>
      </c>
      <c r="J386" s="1312"/>
      <c r="K386" s="1312" t="e">
        <f t="shared" ca="1" si="13"/>
        <v>#NAME?</v>
      </c>
      <c r="L386" s="1315"/>
    </row>
    <row r="387" spans="1:12">
      <c r="A387" s="1314">
        <v>44650.565061724541</v>
      </c>
      <c r="B387" s="1310" t="s">
        <v>2685</v>
      </c>
      <c r="C387" s="1310" t="s">
        <v>2686</v>
      </c>
      <c r="D387" s="1310" t="s">
        <v>1951</v>
      </c>
      <c r="E387" s="1310" t="s">
        <v>868</v>
      </c>
      <c r="F387" s="1310" t="e">
        <f t="array" aca="1" ref="F387" ca="1">+_xludf.IFS(E387="50% teletrabajo",0.5, E387="25% teletrabajo",0.75,E387="75% teletrabajo",0.25,E387="100% teletrabajo",0,E387="100% trabajo presencial",1)</f>
        <v>#NAME?</v>
      </c>
      <c r="G387" s="1310" t="s">
        <v>1952</v>
      </c>
      <c r="H387" s="1310" t="e">
        <f t="array" aca="1" ref="H387" ca="1">+_xludf.IFS(G387="Vehículo - Uso individual","Auto",G387="Vehículo - Uso compartido","Auto",G387="Transporte público","Bus",G387="Moto","Moto",G387="Bicicleta o caminando","Bicicleta")</f>
        <v>#NAME?</v>
      </c>
      <c r="I387" s="1310">
        <v>1</v>
      </c>
      <c r="J387" s="1310">
        <v>7</v>
      </c>
      <c r="K387" s="1312" t="e">
        <f t="shared" ca="1" si="13"/>
        <v>#NAME?</v>
      </c>
      <c r="L387" s="1315" t="e">
        <f ca="1">+K387*I387*VLOOKUP(H387,'Factores Emisión EDGE'!$K$267:$L$272,2,FALSE)/1000</f>
        <v>#NAME?</v>
      </c>
    </row>
    <row r="388" spans="1:12">
      <c r="A388" s="1314">
        <v>44650.56636913195</v>
      </c>
      <c r="B388" s="1310" t="s">
        <v>2687</v>
      </c>
      <c r="C388" s="1310" t="s">
        <v>2688</v>
      </c>
      <c r="D388" s="1310" t="s">
        <v>1951</v>
      </c>
      <c r="E388" s="1310" t="s">
        <v>868</v>
      </c>
      <c r="F388" s="1310" t="e">
        <f t="array" aca="1" ref="F388" ca="1">+_xludf.IFS(E388="50% teletrabajo",0.5, E388="25% teletrabajo",0.75,E388="75% teletrabajo",0.25,E388="100% teletrabajo",0,E388="100% trabajo presencial",1)</f>
        <v>#NAME?</v>
      </c>
      <c r="G388" s="1310" t="s">
        <v>1952</v>
      </c>
      <c r="H388" s="1310" t="e">
        <f t="array" aca="1" ref="H388" ca="1">+_xludf.IFS(G388="Vehículo - Uso individual","Auto",G388="Vehículo - Uso compartido","Auto",G388="Transporte público","Bus",G388="Moto","Moto",G388="Bicicleta o caminando","Bicicleta")</f>
        <v>#NAME?</v>
      </c>
      <c r="I388" s="1310">
        <v>1</v>
      </c>
      <c r="J388" s="1310">
        <v>30</v>
      </c>
      <c r="K388" s="1312" t="e">
        <f t="shared" ca="1" si="13"/>
        <v>#NAME?</v>
      </c>
      <c r="L388" s="1315" t="e">
        <f ca="1">+K388*I388*VLOOKUP(H388,'Factores Emisión EDGE'!$K$267:$L$272,2,FALSE)/1000</f>
        <v>#NAME?</v>
      </c>
    </row>
    <row r="389" spans="1:12">
      <c r="A389" s="1314">
        <v>44650.566694224537</v>
      </c>
      <c r="B389" s="1310" t="s">
        <v>2689</v>
      </c>
      <c r="C389" s="1310" t="s">
        <v>2690</v>
      </c>
      <c r="D389" s="1310" t="s">
        <v>1951</v>
      </c>
      <c r="E389" s="1310" t="s">
        <v>868</v>
      </c>
      <c r="F389" s="1310" t="e">
        <f t="array" aca="1" ref="F389" ca="1">+_xludf.IFS(E389="50% teletrabajo",0.5, E389="25% teletrabajo",0.75,E389="75% teletrabajo",0.25,E389="100% teletrabajo",0,E389="100% trabajo presencial",1)</f>
        <v>#NAME?</v>
      </c>
      <c r="G389" s="1310" t="s">
        <v>1964</v>
      </c>
      <c r="H389" s="1310" t="e">
        <f t="array" aca="1" ref="H389" ca="1">+_xludf.IFS(G389="Vehículo - Uso individual","Auto",G389="Vehículo - Uso compartido","Auto",G389="Transporte público","Bus",G389="Moto","Moto",G389="Bicicleta o caminando","Bicicleta")</f>
        <v>#NAME?</v>
      </c>
      <c r="I389" s="1310">
        <v>1</v>
      </c>
      <c r="J389" s="1310">
        <v>31</v>
      </c>
      <c r="K389" s="1312" t="e">
        <f t="shared" ca="1" si="13"/>
        <v>#NAME?</v>
      </c>
      <c r="L389" s="1315" t="e">
        <f ca="1">+K389*I389*VLOOKUP(H389,'Factores Emisión EDGE'!$K$267:$L$272,2,FALSE)/1000</f>
        <v>#NAME?</v>
      </c>
    </row>
    <row r="390" spans="1:12">
      <c r="A390" s="1314">
        <v>44650.567791076392</v>
      </c>
      <c r="B390" s="1310" t="s">
        <v>2691</v>
      </c>
      <c r="C390" s="1310" t="s">
        <v>2692</v>
      </c>
      <c r="D390" s="1310" t="s">
        <v>1951</v>
      </c>
      <c r="E390" s="1310" t="s">
        <v>868</v>
      </c>
      <c r="F390" s="1310" t="e">
        <f t="array" aca="1" ref="F390" ca="1">+_xludf.IFS(E390="50% teletrabajo",0.5, E390="25% teletrabajo",0.75,E390="75% teletrabajo",0.25,E390="100% teletrabajo",0,E390="100% trabajo presencial",1)</f>
        <v>#NAME?</v>
      </c>
      <c r="G390" s="1310" t="s">
        <v>1964</v>
      </c>
      <c r="H390" s="1310" t="e">
        <f t="array" aca="1" ref="H390" ca="1">+_xludf.IFS(G390="Vehículo - Uso individual","Auto",G390="Vehículo - Uso compartido","Auto",G390="Transporte público","Bus",G390="Moto","Moto",G390="Bicicleta o caminando","Bicicleta")</f>
        <v>#NAME?</v>
      </c>
      <c r="I390" s="1310">
        <v>1</v>
      </c>
      <c r="J390" s="1310">
        <v>3</v>
      </c>
      <c r="K390" s="1312" t="e">
        <f t="shared" ca="1" si="13"/>
        <v>#NAME?</v>
      </c>
      <c r="L390" s="1315" t="e">
        <f ca="1">+K390*I390*VLOOKUP(H390,'Factores Emisión EDGE'!$K$267:$L$272,2,FALSE)/1000</f>
        <v>#NAME?</v>
      </c>
    </row>
    <row r="391" spans="1:12">
      <c r="A391" s="1314">
        <v>44650.571533148148</v>
      </c>
      <c r="B391" s="1310" t="s">
        <v>2693</v>
      </c>
      <c r="C391" s="1310" t="s">
        <v>2694</v>
      </c>
      <c r="D391" s="1310" t="s">
        <v>1951</v>
      </c>
      <c r="E391" s="1310" t="s">
        <v>868</v>
      </c>
      <c r="F391" s="1310" t="e">
        <f t="array" aca="1" ref="F391" ca="1">+_xludf.IFS(E391="50% teletrabajo",0.5, E391="25% teletrabajo",0.75,E391="75% teletrabajo",0.25,E391="100% teletrabajo",0,E391="100% trabajo presencial",1)</f>
        <v>#NAME?</v>
      </c>
      <c r="G391" s="1310" t="s">
        <v>1952</v>
      </c>
      <c r="H391" s="1310" t="e">
        <f t="array" aca="1" ref="H391" ca="1">+_xludf.IFS(G391="Vehículo - Uso individual","Auto",G391="Vehículo - Uso compartido","Auto",G391="Transporte público","Bus",G391="Moto","Moto",G391="Bicicleta o caminando","Bicicleta")</f>
        <v>#NAME?</v>
      </c>
      <c r="I391" s="1310">
        <v>1</v>
      </c>
      <c r="J391" s="1310">
        <v>20</v>
      </c>
      <c r="K391" s="1312" t="e">
        <f t="shared" ca="1" si="13"/>
        <v>#NAME?</v>
      </c>
      <c r="L391" s="1315" t="e">
        <f ca="1">+K391*I391*VLOOKUP(H391,'Factores Emisión EDGE'!$K$267:$L$272,2,FALSE)/1000</f>
        <v>#NAME?</v>
      </c>
    </row>
    <row r="392" spans="1:12">
      <c r="A392" s="1314">
        <v>44650.571836041665</v>
      </c>
      <c r="B392" s="1310" t="s">
        <v>2695</v>
      </c>
      <c r="C392" s="1310" t="s">
        <v>2696</v>
      </c>
      <c r="D392" s="1310" t="s">
        <v>1951</v>
      </c>
      <c r="E392" s="1310" t="s">
        <v>1960</v>
      </c>
      <c r="F392" s="1310" t="e">
        <f t="array" aca="1" ref="F392" ca="1">+_xludf.IFS(E392="50% teletrabajo",0.5, E392="25% teletrabajo",0.75,E392="75% teletrabajo",0.25,E392="100% teletrabajo",0,E392="100% trabajo presencial",1)</f>
        <v>#NAME?</v>
      </c>
      <c r="G392" s="1310" t="s">
        <v>2356</v>
      </c>
      <c r="H392" s="1310" t="e">
        <f t="array" aca="1" ref="H392" ca="1">+_xludf.IFS(G392="Vehículo - Uso individual","Auto",G392="Vehículo - Uso compartido","Auto",G392="Transporte público","Bus",G392="Moto","Moto",G392="Bicicleta o caminando","Bicicleta")</f>
        <v>#NAME?</v>
      </c>
      <c r="I392" s="1310">
        <v>1</v>
      </c>
      <c r="J392" s="1312"/>
      <c r="K392" s="1312" t="e">
        <f t="shared" ca="1" si="13"/>
        <v>#NAME?</v>
      </c>
      <c r="L392" s="1315"/>
    </row>
    <row r="393" spans="1:12">
      <c r="A393" s="1314">
        <v>44650.57184045139</v>
      </c>
      <c r="B393" s="1310" t="s">
        <v>2697</v>
      </c>
      <c r="C393" s="1310" t="s">
        <v>2698</v>
      </c>
      <c r="D393" s="1310" t="s">
        <v>1951</v>
      </c>
      <c r="E393" s="1310" t="s">
        <v>1960</v>
      </c>
      <c r="F393" s="1310" t="e">
        <f t="array" aca="1" ref="F393" ca="1">+_xludf.IFS(E393="50% teletrabajo",0.5, E393="25% teletrabajo",0.75,E393="75% teletrabajo",0.25,E393="100% teletrabajo",0,E393="100% trabajo presencial",1)</f>
        <v>#NAME?</v>
      </c>
      <c r="G393" s="1310" t="s">
        <v>2356</v>
      </c>
      <c r="H393" s="1310" t="e">
        <f t="array" aca="1" ref="H393" ca="1">+_xludf.IFS(G393="Vehículo - Uso individual","Auto",G393="Vehículo - Uso compartido","Auto",G393="Transporte público","Bus",G393="Moto","Moto",G393="Bicicleta o caminando","Bicicleta")</f>
        <v>#NAME?</v>
      </c>
      <c r="I393" s="1310">
        <v>1</v>
      </c>
      <c r="J393" s="1312"/>
      <c r="K393" s="1312" t="e">
        <f t="shared" ca="1" si="13"/>
        <v>#NAME?</v>
      </c>
      <c r="L393" s="1315"/>
    </row>
    <row r="394" spans="1:12">
      <c r="A394" s="1314">
        <v>44650.572313634257</v>
      </c>
      <c r="B394" s="1310" t="s">
        <v>2699</v>
      </c>
      <c r="C394" s="1310" t="s">
        <v>2700</v>
      </c>
      <c r="D394" s="1310" t="s">
        <v>2066</v>
      </c>
      <c r="E394" s="1310" t="s">
        <v>868</v>
      </c>
      <c r="F394" s="1310" t="e">
        <f t="array" aca="1" ref="F394" ca="1">+_xludf.IFS(E394="50% teletrabajo",0.5, E394="25% teletrabajo",0.75,E394="75% teletrabajo",0.25,E394="100% teletrabajo",0,E394="100% trabajo presencial",1)</f>
        <v>#NAME?</v>
      </c>
      <c r="G394" s="1310" t="s">
        <v>1964</v>
      </c>
      <c r="H394" s="1310" t="e">
        <f t="array" aca="1" ref="H394" ca="1">+_xludf.IFS(G394="Vehículo - Uso individual","Auto",G394="Vehículo - Uso compartido","Auto",G394="Transporte público","Bus",G394="Moto","Moto",G394="Bicicleta o caminando","Bicicleta")</f>
        <v>#NAME?</v>
      </c>
      <c r="I394" s="1310">
        <v>1</v>
      </c>
      <c r="J394" s="1310">
        <v>8</v>
      </c>
      <c r="K394" s="1312" t="e">
        <f t="shared" ca="1" si="13"/>
        <v>#NAME?</v>
      </c>
      <c r="L394" s="1315" t="e">
        <f ca="1">+K394*I394*VLOOKUP(H394,'Factores Emisión EDGE'!$K$267:$L$272,2,FALSE)/1000</f>
        <v>#NAME?</v>
      </c>
    </row>
    <row r="395" spans="1:12">
      <c r="A395" s="1314">
        <v>44650.572460497686</v>
      </c>
      <c r="B395" s="1310" t="s">
        <v>2701</v>
      </c>
      <c r="C395" s="1310" t="s">
        <v>2702</v>
      </c>
      <c r="D395" s="1310" t="s">
        <v>1951</v>
      </c>
      <c r="E395" s="1310" t="s">
        <v>868</v>
      </c>
      <c r="F395" s="1310" t="e">
        <f t="array" aca="1" ref="F395" ca="1">+_xludf.IFS(E395="50% teletrabajo",0.5, E395="25% teletrabajo",0.75,E395="75% teletrabajo",0.25,E395="100% teletrabajo",0,E395="100% trabajo presencial",1)</f>
        <v>#NAME?</v>
      </c>
      <c r="G395" s="1310" t="s">
        <v>1952</v>
      </c>
      <c r="H395" s="1310" t="e">
        <f t="array" aca="1" ref="H395" ca="1">+_xludf.IFS(G395="Vehículo - Uso individual","Auto",G395="Vehículo - Uso compartido","Auto",G395="Transporte público","Bus",G395="Moto","Moto",G395="Bicicleta o caminando","Bicicleta")</f>
        <v>#NAME?</v>
      </c>
      <c r="I395" s="1310">
        <v>1</v>
      </c>
      <c r="J395" s="1310">
        <v>8</v>
      </c>
      <c r="K395" s="1312" t="e">
        <f t="shared" ca="1" si="13"/>
        <v>#NAME?</v>
      </c>
      <c r="L395" s="1315" t="e">
        <f ca="1">+K395*I395*VLOOKUP(H395,'Factores Emisión EDGE'!$K$267:$L$272,2,FALSE)/1000</f>
        <v>#NAME?</v>
      </c>
    </row>
    <row r="396" spans="1:12">
      <c r="A396" s="1314">
        <v>44650.578024074071</v>
      </c>
      <c r="B396" s="1310" t="s">
        <v>2703</v>
      </c>
      <c r="C396" s="1310">
        <v>136128752</v>
      </c>
      <c r="D396" s="1310" t="s">
        <v>1951</v>
      </c>
      <c r="E396" s="1310" t="s">
        <v>868</v>
      </c>
      <c r="F396" s="1310" t="e">
        <f t="array" aca="1" ref="F396" ca="1">+_xludf.IFS(E396="50% teletrabajo",0.5, E396="25% teletrabajo",0.75,E396="75% teletrabajo",0.25,E396="100% teletrabajo",0,E396="100% trabajo presencial",1)</f>
        <v>#NAME?</v>
      </c>
      <c r="G396" s="1310" t="s">
        <v>1983</v>
      </c>
      <c r="H396" s="1310" t="e">
        <f t="array" aca="1" ref="H396" ca="1">+_xludf.IFS(G396="Vehículo - Uso individual","Auto",G396="Vehículo - Uso compartido","Auto",G396="Transporte público","Bus",G396="Moto","Moto",G396="Bicicleta o caminando","Bicicleta")</f>
        <v>#NAME?</v>
      </c>
      <c r="I396" s="1310">
        <v>1</v>
      </c>
      <c r="J396" s="1310">
        <v>3</v>
      </c>
      <c r="K396" s="1312" t="e">
        <f t="shared" ca="1" si="13"/>
        <v>#NAME?</v>
      </c>
      <c r="L396" s="1315" t="e">
        <f ca="1">+K396*I396*VLOOKUP(H396,'Factores Emisión EDGE'!$K$267:$L$272,2,FALSE)/1000</f>
        <v>#NAME?</v>
      </c>
    </row>
    <row r="397" spans="1:12">
      <c r="A397" s="1314">
        <v>44650.585176562498</v>
      </c>
      <c r="B397" s="1310" t="s">
        <v>2704</v>
      </c>
      <c r="C397" s="1310" t="s">
        <v>2705</v>
      </c>
      <c r="D397" s="1310" t="s">
        <v>1951</v>
      </c>
      <c r="E397" s="1310" t="s">
        <v>868</v>
      </c>
      <c r="F397" s="1310" t="e">
        <f t="array" aca="1" ref="F397" ca="1">+_xludf.IFS(E397="50% teletrabajo",0.5, E397="25% teletrabajo",0.75,E397="75% teletrabajo",0.25,E397="100% teletrabajo",0,E397="100% trabajo presencial",1)</f>
        <v>#NAME?</v>
      </c>
      <c r="G397" s="1310" t="s">
        <v>1964</v>
      </c>
      <c r="H397" s="1310" t="e">
        <f t="array" aca="1" ref="H397" ca="1">+_xludf.IFS(G397="Vehículo - Uso individual","Auto",G397="Vehículo - Uso compartido","Auto",G397="Transporte público","Bus",G397="Moto","Moto",G397="Bicicleta o caminando","Bicicleta")</f>
        <v>#NAME?</v>
      </c>
      <c r="I397" s="1310">
        <v>1</v>
      </c>
      <c r="J397" s="1310">
        <v>13</v>
      </c>
      <c r="K397" s="1312" t="e">
        <f t="shared" ca="1" si="13"/>
        <v>#NAME?</v>
      </c>
      <c r="L397" s="1315" t="e">
        <f ca="1">+K397*I397*VLOOKUP(H397,'Factores Emisión EDGE'!$K$267:$L$272,2,FALSE)/1000</f>
        <v>#NAME?</v>
      </c>
    </row>
    <row r="398" spans="1:12">
      <c r="A398" s="1314">
        <v>44650.585334027783</v>
      </c>
      <c r="B398" s="1310" t="s">
        <v>2706</v>
      </c>
      <c r="C398" s="1310" t="s">
        <v>2707</v>
      </c>
      <c r="D398" s="1310" t="s">
        <v>1951</v>
      </c>
      <c r="E398" s="1310" t="s">
        <v>868</v>
      </c>
      <c r="F398" s="1310" t="e">
        <f t="array" aca="1" ref="F398" ca="1">+_xludf.IFS(E398="50% teletrabajo",0.5, E398="25% teletrabajo",0.75,E398="75% teletrabajo",0.25,E398="100% teletrabajo",0,E398="100% trabajo presencial",1)</f>
        <v>#NAME?</v>
      </c>
      <c r="G398" s="1310" t="s">
        <v>1952</v>
      </c>
      <c r="H398" s="1310" t="e">
        <f t="array" aca="1" ref="H398" ca="1">+_xludf.IFS(G398="Vehículo - Uso individual","Auto",G398="Vehículo - Uso compartido","Auto",G398="Transporte público","Bus",G398="Moto","Moto",G398="Bicicleta o caminando","Bicicleta")</f>
        <v>#NAME?</v>
      </c>
      <c r="I398" s="1310">
        <v>1</v>
      </c>
      <c r="J398" s="1310">
        <v>5</v>
      </c>
      <c r="K398" s="1312" t="e">
        <f t="shared" ca="1" si="13"/>
        <v>#NAME?</v>
      </c>
      <c r="L398" s="1315" t="e">
        <f ca="1">+K398*I398*VLOOKUP(H398,'Factores Emisión EDGE'!$K$267:$L$272,2,FALSE)/1000</f>
        <v>#NAME?</v>
      </c>
    </row>
    <row r="399" spans="1:12">
      <c r="A399" s="1314">
        <v>44650.591057592595</v>
      </c>
      <c r="B399" s="1310" t="s">
        <v>2708</v>
      </c>
      <c r="C399" s="1310" t="s">
        <v>2709</v>
      </c>
      <c r="D399" s="1310" t="s">
        <v>1951</v>
      </c>
      <c r="E399" s="1310" t="s">
        <v>868</v>
      </c>
      <c r="F399" s="1310" t="e">
        <f t="array" aca="1" ref="F399" ca="1">+_xludf.IFS(E399="50% teletrabajo",0.5, E399="25% teletrabajo",0.75,E399="75% teletrabajo",0.25,E399="100% teletrabajo",0,E399="100% trabajo presencial",1)</f>
        <v>#NAME?</v>
      </c>
      <c r="G399" s="1310" t="s">
        <v>1952</v>
      </c>
      <c r="H399" s="1310" t="e">
        <f t="array" aca="1" ref="H399" ca="1">+_xludf.IFS(G399="Vehículo - Uso individual","Auto",G399="Vehículo - Uso compartido","Auto",G399="Transporte público","Bus",G399="Moto","Moto",G399="Bicicleta o caminando","Bicicleta")</f>
        <v>#NAME?</v>
      </c>
      <c r="I399" s="1310">
        <v>1</v>
      </c>
      <c r="J399" s="1310">
        <v>30</v>
      </c>
      <c r="K399" s="1312" t="e">
        <f t="shared" ca="1" si="13"/>
        <v>#NAME?</v>
      </c>
      <c r="L399" s="1315" t="e">
        <f ca="1">+K399*I399*VLOOKUP(H399,'Factores Emisión EDGE'!$K$267:$L$272,2,FALSE)/1000</f>
        <v>#NAME?</v>
      </c>
    </row>
    <row r="400" spans="1:12">
      <c r="A400" s="1314">
        <v>44650.591135069444</v>
      </c>
      <c r="B400" s="1310" t="s">
        <v>2710</v>
      </c>
      <c r="C400" s="1310" t="s">
        <v>2711</v>
      </c>
      <c r="D400" s="1310" t="s">
        <v>1951</v>
      </c>
      <c r="E400" s="1310" t="s">
        <v>868</v>
      </c>
      <c r="F400" s="1310" t="e">
        <f t="array" aca="1" ref="F400" ca="1">+_xludf.IFS(E400="50% teletrabajo",0.5, E400="25% teletrabajo",0.75,E400="75% teletrabajo",0.25,E400="100% teletrabajo",0,E400="100% trabajo presencial",1)</f>
        <v>#NAME?</v>
      </c>
      <c r="G400" s="1310" t="s">
        <v>1952</v>
      </c>
      <c r="H400" s="1310" t="e">
        <f t="array" aca="1" ref="H400" ca="1">+_xludf.IFS(G400="Vehículo - Uso individual","Auto",G400="Vehículo - Uso compartido","Auto",G400="Transporte público","Bus",G400="Moto","Moto",G400="Bicicleta o caminando","Bicicleta")</f>
        <v>#NAME?</v>
      </c>
      <c r="I400" s="1310">
        <v>1</v>
      </c>
      <c r="J400" s="1310">
        <v>30</v>
      </c>
      <c r="K400" s="1312" t="e">
        <f t="shared" ca="1" si="13"/>
        <v>#NAME?</v>
      </c>
      <c r="L400" s="1315" t="e">
        <f ca="1">+K400*I400*VLOOKUP(H400,'Factores Emisión EDGE'!$K$267:$L$272,2,FALSE)/1000</f>
        <v>#NAME?</v>
      </c>
    </row>
    <row r="401" spans="1:12">
      <c r="A401" s="1314">
        <v>44650.596385671292</v>
      </c>
      <c r="B401" s="1310" t="s">
        <v>2712</v>
      </c>
      <c r="C401" s="1310" t="s">
        <v>2713</v>
      </c>
      <c r="D401" s="1310" t="s">
        <v>1951</v>
      </c>
      <c r="E401" s="1310" t="s">
        <v>1965</v>
      </c>
      <c r="F401" s="1310" t="e">
        <f t="array" aca="1" ref="F401" ca="1">+_xludf.IFS(E401="50% teletrabajo",0.5, E401="25% teletrabajo",0.75,E401="75% teletrabajo",0.25,E401="100% teletrabajo",0,E401="100% trabajo presencial",1)</f>
        <v>#NAME?</v>
      </c>
      <c r="G401" s="1310" t="s">
        <v>1964</v>
      </c>
      <c r="H401" s="1310" t="e">
        <f t="array" aca="1" ref="H401" ca="1">+_xludf.IFS(G401="Vehículo - Uso individual","Auto",G401="Vehículo - Uso compartido","Auto",G401="Transporte público","Bus",G401="Moto","Moto",G401="Bicicleta o caminando","Bicicleta")</f>
        <v>#NAME?</v>
      </c>
      <c r="I401" s="1310">
        <v>1</v>
      </c>
      <c r="J401" s="1310">
        <v>2.2999999999999998</v>
      </c>
      <c r="K401" s="1312" t="e">
        <f t="shared" ca="1" si="13"/>
        <v>#NAME?</v>
      </c>
      <c r="L401" s="1315" t="e">
        <f ca="1">+K401*I401*VLOOKUP(H401,'Factores Emisión EDGE'!$K$267:$L$272,2,FALSE)/1000</f>
        <v>#NAME?</v>
      </c>
    </row>
    <row r="402" spans="1:12">
      <c r="A402" s="1314">
        <v>44650.597106759262</v>
      </c>
      <c r="B402" s="1310" t="s">
        <v>2714</v>
      </c>
      <c r="C402" s="1310" t="s">
        <v>2715</v>
      </c>
      <c r="D402" s="1310" t="s">
        <v>1951</v>
      </c>
      <c r="E402" s="1310" t="s">
        <v>868</v>
      </c>
      <c r="F402" s="1310" t="e">
        <f t="array" aca="1" ref="F402" ca="1">+_xludf.IFS(E402="50% teletrabajo",0.5, E402="25% teletrabajo",0.75,E402="75% teletrabajo",0.25,E402="100% teletrabajo",0,E402="100% trabajo presencial",1)</f>
        <v>#NAME?</v>
      </c>
      <c r="G402" s="1310" t="s">
        <v>1995</v>
      </c>
      <c r="H402" s="1310" t="e">
        <f t="array" aca="1" ref="H402" ca="1">+_xludf.IFS(G402="Vehículo - Uso individual","Auto",G402="Vehículo - Uso compartido","Auto",G402="Transporte público","Bus",G402="Moto","Moto",G402="Bicicleta o caminando","Bicicleta")</f>
        <v>#NAME?</v>
      </c>
      <c r="I402" s="1310">
        <v>0.25</v>
      </c>
      <c r="J402" s="1310">
        <v>10</v>
      </c>
      <c r="K402" s="1312" t="e">
        <f t="shared" ca="1" si="13"/>
        <v>#NAME?</v>
      </c>
      <c r="L402" s="1315" t="e">
        <f ca="1">+K402*I402*VLOOKUP(H402,'Factores Emisión EDGE'!$K$267:$L$272,2,FALSE)/1000</f>
        <v>#NAME?</v>
      </c>
    </row>
    <row r="403" spans="1:12">
      <c r="A403" s="1314">
        <v>44650.604976655093</v>
      </c>
      <c r="B403" s="1310" t="s">
        <v>2714</v>
      </c>
      <c r="C403" s="1310" t="s">
        <v>2715</v>
      </c>
      <c r="D403" s="1310" t="s">
        <v>1951</v>
      </c>
      <c r="E403" s="1310" t="s">
        <v>868</v>
      </c>
      <c r="F403" s="1310" t="e">
        <f t="array" aca="1" ref="F403" ca="1">+_xludf.IFS(E403="50% teletrabajo",0.5, E403="25% teletrabajo",0.75,E403="75% teletrabajo",0.25,E403="100% teletrabajo",0,E403="100% trabajo presencial",1)</f>
        <v>#NAME?</v>
      </c>
      <c r="G403" s="1310" t="s">
        <v>1995</v>
      </c>
      <c r="H403" s="1310" t="e">
        <f t="array" aca="1" ref="H403" ca="1">+_xludf.IFS(G403="Vehículo - Uso individual","Auto",G403="Vehículo - Uso compartido","Auto",G403="Transporte público","Bus",G403="Moto","Moto",G403="Bicicleta o caminando","Bicicleta")</f>
        <v>#NAME?</v>
      </c>
      <c r="I403" s="1310">
        <v>0.25</v>
      </c>
      <c r="J403" s="1310">
        <v>10</v>
      </c>
      <c r="K403" s="1312" t="e">
        <f t="shared" ca="1" si="13"/>
        <v>#NAME?</v>
      </c>
      <c r="L403" s="1315" t="e">
        <f ca="1">+K403*I403*VLOOKUP(H403,'Factores Emisión EDGE'!$K$267:$L$272,2,FALSE)/1000</f>
        <v>#NAME?</v>
      </c>
    </row>
    <row r="404" spans="1:12">
      <c r="A404" s="1314">
        <v>44650.607042627315</v>
      </c>
      <c r="B404" s="1310" t="s">
        <v>2716</v>
      </c>
      <c r="C404" s="1310" t="s">
        <v>2717</v>
      </c>
      <c r="D404" s="1310" t="s">
        <v>1951</v>
      </c>
      <c r="E404" s="1310" t="s">
        <v>872</v>
      </c>
      <c r="F404" s="1310" t="e">
        <f t="array" aca="1" ref="F404" ca="1">+_xludf.IFS(E404="50% teletrabajo",0.5, E404="25% teletrabajo",0.75,E404="75% teletrabajo",0.25,E404="100% teletrabajo",0,E404="100% trabajo presencial",1)</f>
        <v>#NAME?</v>
      </c>
      <c r="G404" s="1310" t="s">
        <v>1952</v>
      </c>
      <c r="H404" s="1310" t="e">
        <f t="array" aca="1" ref="H404" ca="1">+_xludf.IFS(G404="Vehículo - Uso individual","Auto",G404="Vehículo - Uso compartido","Auto",G404="Transporte público","Bus",G404="Moto","Moto",G404="Bicicleta o caminando","Bicicleta")</f>
        <v>#NAME?</v>
      </c>
      <c r="I404" s="1310">
        <v>1</v>
      </c>
      <c r="J404" s="1310">
        <v>5</v>
      </c>
      <c r="K404" s="1312" t="e">
        <f t="shared" ca="1" si="13"/>
        <v>#NAME?</v>
      </c>
      <c r="L404" s="1315" t="e">
        <f ca="1">+K404*I404*VLOOKUP(H404,'Factores Emisión EDGE'!$K$267:$L$272,2,FALSE)/1000</f>
        <v>#NAME?</v>
      </c>
    </row>
    <row r="405" spans="1:12">
      <c r="A405" s="1314">
        <v>44650.608614803241</v>
      </c>
      <c r="B405" s="1310" t="s">
        <v>2718</v>
      </c>
      <c r="C405" s="1310" t="s">
        <v>2719</v>
      </c>
      <c r="D405" s="1310" t="s">
        <v>1951</v>
      </c>
      <c r="E405" s="1310" t="s">
        <v>868</v>
      </c>
      <c r="F405" s="1310" t="e">
        <f t="array" aca="1" ref="F405" ca="1">+_xludf.IFS(E405="50% teletrabajo",0.5, E405="25% teletrabajo",0.75,E405="75% teletrabajo",0.25,E405="100% teletrabajo",0,E405="100% trabajo presencial",1)</f>
        <v>#NAME?</v>
      </c>
      <c r="G405" s="1310" t="s">
        <v>1964</v>
      </c>
      <c r="H405" s="1310" t="e">
        <f t="array" aca="1" ref="H405" ca="1">+_xludf.IFS(G405="Vehículo - Uso individual","Auto",G405="Vehículo - Uso compartido","Auto",G405="Transporte público","Bus",G405="Moto","Moto",G405="Bicicleta o caminando","Bicicleta")</f>
        <v>#NAME?</v>
      </c>
      <c r="I405" s="1310">
        <v>1</v>
      </c>
      <c r="J405" s="1310">
        <v>35</v>
      </c>
      <c r="K405" s="1312" t="e">
        <f t="shared" ca="1" si="13"/>
        <v>#NAME?</v>
      </c>
      <c r="L405" s="1315" t="e">
        <f ca="1">+K405*I405*VLOOKUP(H405,'Factores Emisión EDGE'!$K$267:$L$272,2,FALSE)/1000</f>
        <v>#NAME?</v>
      </c>
    </row>
    <row r="406" spans="1:12">
      <c r="A406" s="1314">
        <v>44650.610632951386</v>
      </c>
      <c r="B406" s="1310" t="s">
        <v>2720</v>
      </c>
      <c r="C406" s="1310" t="s">
        <v>2721</v>
      </c>
      <c r="D406" s="1310" t="s">
        <v>1951</v>
      </c>
      <c r="E406" s="1310" t="s">
        <v>868</v>
      </c>
      <c r="F406" s="1310" t="e">
        <f t="array" aca="1" ref="F406" ca="1">+_xludf.IFS(E406="50% teletrabajo",0.5, E406="25% teletrabajo",0.75,E406="75% teletrabajo",0.25,E406="100% teletrabajo",0,E406="100% trabajo presencial",1)</f>
        <v>#NAME?</v>
      </c>
      <c r="G406" s="1310" t="s">
        <v>1952</v>
      </c>
      <c r="H406" s="1310" t="e">
        <f t="array" aca="1" ref="H406" ca="1">+_xludf.IFS(G406="Vehículo - Uso individual","Auto",G406="Vehículo - Uso compartido","Auto",G406="Transporte público","Bus",G406="Moto","Moto",G406="Bicicleta o caminando","Bicicleta")</f>
        <v>#NAME?</v>
      </c>
      <c r="I406" s="1310">
        <v>1</v>
      </c>
      <c r="J406" s="1310">
        <v>1</v>
      </c>
      <c r="K406" s="1312" t="e">
        <f t="shared" ca="1" si="13"/>
        <v>#NAME?</v>
      </c>
      <c r="L406" s="1315" t="e">
        <f ca="1">+K406*I406*VLOOKUP(H406,'Factores Emisión EDGE'!$K$267:$L$272,2,FALSE)/1000</f>
        <v>#NAME?</v>
      </c>
    </row>
    <row r="407" spans="1:12">
      <c r="A407" s="1314">
        <v>44650.61156931713</v>
      </c>
      <c r="B407" s="1310" t="s">
        <v>2722</v>
      </c>
      <c r="C407" s="1310" t="s">
        <v>2723</v>
      </c>
      <c r="D407" s="1310" t="s">
        <v>1951</v>
      </c>
      <c r="E407" s="1310" t="s">
        <v>1960</v>
      </c>
      <c r="F407" s="1310" t="e">
        <f t="array" aca="1" ref="F407" ca="1">+_xludf.IFS(E407="50% teletrabajo",0.5, E407="25% teletrabajo",0.75,E407="75% teletrabajo",0.25,E407="100% teletrabajo",0,E407="100% trabajo presencial",1)</f>
        <v>#NAME?</v>
      </c>
      <c r="G407" s="1310" t="s">
        <v>1964</v>
      </c>
      <c r="H407" s="1310" t="e">
        <f t="array" aca="1" ref="H407" ca="1">+_xludf.IFS(G407="Vehículo - Uso individual","Auto",G407="Vehículo - Uso compartido","Auto",G407="Transporte público","Bus",G407="Moto","Moto",G407="Bicicleta o caminando","Bicicleta")</f>
        <v>#NAME?</v>
      </c>
      <c r="I407" s="1310">
        <v>1</v>
      </c>
      <c r="J407" s="1310">
        <v>34</v>
      </c>
      <c r="K407" s="1312" t="e">
        <f t="shared" ca="1" si="13"/>
        <v>#NAME?</v>
      </c>
      <c r="L407" s="1315" t="e">
        <f ca="1">+K407*I407*VLOOKUP(H407,'Factores Emisión EDGE'!$K$267:$L$272,2,FALSE)/1000</f>
        <v>#NAME?</v>
      </c>
    </row>
    <row r="408" spans="1:12">
      <c r="A408" s="1314">
        <v>44650.611777511571</v>
      </c>
      <c r="B408" s="1310" t="s">
        <v>2724</v>
      </c>
      <c r="C408" s="1310" t="s">
        <v>2725</v>
      </c>
      <c r="D408" s="1310" t="s">
        <v>1951</v>
      </c>
      <c r="E408" s="1310" t="s">
        <v>868</v>
      </c>
      <c r="F408" s="1310" t="e">
        <f t="array" aca="1" ref="F408" ca="1">+_xludf.IFS(E408="50% teletrabajo",0.5, E408="25% teletrabajo",0.75,E408="75% teletrabajo",0.25,E408="100% teletrabajo",0,E408="100% trabajo presencial",1)</f>
        <v>#NAME?</v>
      </c>
      <c r="G408" s="1310" t="s">
        <v>1964</v>
      </c>
      <c r="H408" s="1310" t="e">
        <f t="array" aca="1" ref="H408" ca="1">+_xludf.IFS(G408="Vehículo - Uso individual","Auto",G408="Vehículo - Uso compartido","Auto",G408="Transporte público","Bus",G408="Moto","Moto",G408="Bicicleta o caminando","Bicicleta")</f>
        <v>#NAME?</v>
      </c>
      <c r="I408" s="1310">
        <v>1</v>
      </c>
      <c r="J408" s="1310">
        <v>70</v>
      </c>
      <c r="K408" s="1312" t="e">
        <f t="shared" ca="1" si="13"/>
        <v>#NAME?</v>
      </c>
      <c r="L408" s="1315" t="e">
        <f ca="1">+K408*I408*VLOOKUP(H408,'Factores Emisión EDGE'!$K$267:$L$272,2,FALSE)/1000</f>
        <v>#NAME?</v>
      </c>
    </row>
    <row r="409" spans="1:12">
      <c r="A409" s="1314">
        <v>44650.613419583329</v>
      </c>
      <c r="B409" s="1310" t="s">
        <v>2726</v>
      </c>
      <c r="C409" s="1310" t="s">
        <v>2727</v>
      </c>
      <c r="D409" s="1310" t="s">
        <v>1951</v>
      </c>
      <c r="E409" s="1310" t="s">
        <v>1955</v>
      </c>
      <c r="F409" s="1310" t="e">
        <f t="array" aca="1" ref="F409" ca="1">+_xludf.IFS(E409="50% teletrabajo",0.5, E409="25% teletrabajo",0.75,E409="75% teletrabajo",0.25,E409="100% teletrabajo",0,E409="100% trabajo presencial",1)</f>
        <v>#NAME?</v>
      </c>
      <c r="G409" s="1310" t="s">
        <v>1952</v>
      </c>
      <c r="H409" s="1310" t="e">
        <f t="array" aca="1" ref="H409" ca="1">+_xludf.IFS(G409="Vehículo - Uso individual","Auto",G409="Vehículo - Uso compartido","Auto",G409="Transporte público","Bus",G409="Moto","Moto",G409="Bicicleta o caminando","Bicicleta")</f>
        <v>#NAME?</v>
      </c>
      <c r="I409" s="1310">
        <v>1</v>
      </c>
      <c r="J409" s="1310">
        <v>5</v>
      </c>
      <c r="K409" s="1312" t="e">
        <f t="shared" ca="1" si="13"/>
        <v>#NAME?</v>
      </c>
      <c r="L409" s="1315" t="e">
        <f ca="1">+K409*I409*VLOOKUP(H409,'Factores Emisión EDGE'!$K$267:$L$272,2,FALSE)/1000</f>
        <v>#NAME?</v>
      </c>
    </row>
    <row r="410" spans="1:12">
      <c r="A410" s="1314">
        <v>44650.616194861112</v>
      </c>
      <c r="B410" s="1310" t="s">
        <v>2728</v>
      </c>
      <c r="C410" s="1310">
        <v>258126785</v>
      </c>
      <c r="D410" s="1310" t="s">
        <v>1951</v>
      </c>
      <c r="E410" s="1310" t="s">
        <v>1965</v>
      </c>
      <c r="F410" s="1310" t="e">
        <f t="array" aca="1" ref="F410" ca="1">+_xludf.IFS(E410="50% teletrabajo",0.5, E410="25% teletrabajo",0.75,E410="75% teletrabajo",0.25,E410="100% teletrabajo",0,E410="100% trabajo presencial",1)</f>
        <v>#NAME?</v>
      </c>
      <c r="G410" s="1310" t="s">
        <v>1952</v>
      </c>
      <c r="H410" s="1310" t="e">
        <f t="array" aca="1" ref="H410" ca="1">+_xludf.IFS(G410="Vehículo - Uso individual","Auto",G410="Vehículo - Uso compartido","Auto",G410="Transporte público","Bus",G410="Moto","Moto",G410="Bicicleta o caminando","Bicicleta")</f>
        <v>#NAME?</v>
      </c>
      <c r="I410" s="1310">
        <v>1</v>
      </c>
      <c r="J410" s="1310">
        <v>15</v>
      </c>
      <c r="K410" s="1312" t="e">
        <f t="shared" ca="1" si="13"/>
        <v>#NAME?</v>
      </c>
      <c r="L410" s="1315" t="e">
        <f ca="1">+K410*I410*VLOOKUP(H410,'Factores Emisión EDGE'!$K$267:$L$272,2,FALSE)/1000</f>
        <v>#NAME?</v>
      </c>
    </row>
    <row r="411" spans="1:12">
      <c r="A411" s="1314">
        <v>44650.623141342592</v>
      </c>
      <c r="B411" s="1310" t="s">
        <v>2729</v>
      </c>
      <c r="C411" s="1310" t="s">
        <v>2730</v>
      </c>
      <c r="D411" s="1310" t="s">
        <v>1951</v>
      </c>
      <c r="E411" s="1310" t="s">
        <v>868</v>
      </c>
      <c r="F411" s="1310" t="e">
        <f t="array" aca="1" ref="F411" ca="1">+_xludf.IFS(E411="50% teletrabajo",0.5, E411="25% teletrabajo",0.75,E411="75% teletrabajo",0.25,E411="100% teletrabajo",0,E411="100% trabajo presencial",1)</f>
        <v>#NAME?</v>
      </c>
      <c r="G411" s="1310" t="s">
        <v>1964</v>
      </c>
      <c r="H411" s="1310" t="e">
        <f t="array" aca="1" ref="H411" ca="1">+_xludf.IFS(G411="Vehículo - Uso individual","Auto",G411="Vehículo - Uso compartido","Auto",G411="Transporte público","Bus",G411="Moto","Moto",G411="Bicicleta o caminando","Bicicleta")</f>
        <v>#NAME?</v>
      </c>
      <c r="I411" s="1310">
        <v>1</v>
      </c>
      <c r="J411" s="1312"/>
      <c r="K411" s="1312" t="e">
        <f t="shared" ca="1" si="13"/>
        <v>#NAME?</v>
      </c>
      <c r="L411" s="1315" t="e">
        <f ca="1">+K411*I411*VLOOKUP(H411,'Factores Emisión EDGE'!$K$267:$L$272,2,FALSE)/1000</f>
        <v>#NAME?</v>
      </c>
    </row>
    <row r="412" spans="1:12">
      <c r="A412" s="1314">
        <v>44650.627164085643</v>
      </c>
      <c r="B412" s="1310" t="s">
        <v>2731</v>
      </c>
      <c r="C412" s="1310" t="s">
        <v>2732</v>
      </c>
      <c r="D412" s="1310" t="s">
        <v>1951</v>
      </c>
      <c r="E412" s="1310" t="s">
        <v>1960</v>
      </c>
      <c r="F412" s="1310" t="e">
        <f t="array" aca="1" ref="F412" ca="1">+_xludf.IFS(E412="50% teletrabajo",0.5, E412="25% teletrabajo",0.75,E412="75% teletrabajo",0.25,E412="100% teletrabajo",0,E412="100% trabajo presencial",1)</f>
        <v>#NAME?</v>
      </c>
      <c r="G412" s="1310" t="s">
        <v>1964</v>
      </c>
      <c r="H412" s="1310" t="e">
        <f t="array" aca="1" ref="H412" ca="1">+_xludf.IFS(G412="Vehículo - Uso individual","Auto",G412="Vehículo - Uso compartido","Auto",G412="Transporte público","Bus",G412="Moto","Moto",G412="Bicicleta o caminando","Bicicleta")</f>
        <v>#NAME?</v>
      </c>
      <c r="I412" s="1310">
        <v>1</v>
      </c>
      <c r="J412" s="1310">
        <v>16</v>
      </c>
      <c r="K412" s="1312" t="e">
        <f t="shared" ca="1" si="13"/>
        <v>#NAME?</v>
      </c>
      <c r="L412" s="1315" t="e">
        <f ca="1">+K412*I412*VLOOKUP(H412,'Factores Emisión EDGE'!$K$267:$L$272,2,FALSE)/1000</f>
        <v>#NAME?</v>
      </c>
    </row>
    <row r="413" spans="1:12">
      <c r="A413" s="1314">
        <v>44650.628240740742</v>
      </c>
      <c r="B413" s="1310" t="s">
        <v>2733</v>
      </c>
      <c r="C413" s="1310" t="s">
        <v>2734</v>
      </c>
      <c r="D413" s="1310" t="s">
        <v>1951</v>
      </c>
      <c r="E413" s="1310" t="s">
        <v>868</v>
      </c>
      <c r="F413" s="1310" t="e">
        <f t="array" aca="1" ref="F413" ca="1">+_xludf.IFS(E413="50% teletrabajo",0.5, E413="25% teletrabajo",0.75,E413="75% teletrabajo",0.25,E413="100% teletrabajo",0,E413="100% trabajo presencial",1)</f>
        <v>#NAME?</v>
      </c>
      <c r="G413" s="1310" t="s">
        <v>1952</v>
      </c>
      <c r="H413" s="1310" t="e">
        <f t="array" aca="1" ref="H413" ca="1">+_xludf.IFS(G413="Vehículo - Uso individual","Auto",G413="Vehículo - Uso compartido","Auto",G413="Transporte público","Bus",G413="Moto","Moto",G413="Bicicleta o caminando","Bicicleta")</f>
        <v>#NAME?</v>
      </c>
      <c r="I413" s="1310">
        <v>1</v>
      </c>
      <c r="J413" s="1310">
        <v>4</v>
      </c>
      <c r="K413" s="1312" t="e">
        <f t="shared" ca="1" si="13"/>
        <v>#NAME?</v>
      </c>
      <c r="L413" s="1315" t="e">
        <f ca="1">+K413*I413*VLOOKUP(H413,'Factores Emisión EDGE'!$K$267:$L$272,2,FALSE)/1000</f>
        <v>#NAME?</v>
      </c>
    </row>
    <row r="414" spans="1:12">
      <c r="A414" s="1314">
        <v>44650.629601388893</v>
      </c>
      <c r="B414" s="1310" t="s">
        <v>2735</v>
      </c>
      <c r="C414" s="1310" t="s">
        <v>2736</v>
      </c>
      <c r="D414" s="1310" t="s">
        <v>1951</v>
      </c>
      <c r="E414" s="1310" t="s">
        <v>868</v>
      </c>
      <c r="F414" s="1310" t="e">
        <f t="array" aca="1" ref="F414" ca="1">+_xludf.IFS(E414="50% teletrabajo",0.5, E414="25% teletrabajo",0.75,E414="75% teletrabajo",0.25,E414="100% teletrabajo",0,E414="100% trabajo presencial",1)</f>
        <v>#NAME?</v>
      </c>
      <c r="G414" s="1310" t="s">
        <v>1964</v>
      </c>
      <c r="H414" s="1310" t="e">
        <f t="array" aca="1" ref="H414" ca="1">+_xludf.IFS(G414="Vehículo - Uso individual","Auto",G414="Vehículo - Uso compartido","Auto",G414="Transporte público","Bus",G414="Moto","Moto",G414="Bicicleta o caminando","Bicicleta")</f>
        <v>#NAME?</v>
      </c>
      <c r="I414" s="1310">
        <v>1</v>
      </c>
      <c r="J414" s="1310">
        <v>15</v>
      </c>
      <c r="K414" s="1312" t="e">
        <f t="shared" ca="1" si="13"/>
        <v>#NAME?</v>
      </c>
      <c r="L414" s="1315" t="e">
        <f ca="1">+K414*I414*VLOOKUP(H414,'Factores Emisión EDGE'!$K$267:$L$272,2,FALSE)/1000</f>
        <v>#NAME?</v>
      </c>
    </row>
    <row r="415" spans="1:12">
      <c r="A415" s="1314">
        <v>44650.63386991898</v>
      </c>
      <c r="B415" s="1310" t="s">
        <v>2737</v>
      </c>
      <c r="C415" s="1310" t="s">
        <v>2738</v>
      </c>
      <c r="D415" s="1310" t="s">
        <v>1951</v>
      </c>
      <c r="E415" s="1310" t="s">
        <v>868</v>
      </c>
      <c r="F415" s="1310" t="e">
        <f t="array" aca="1" ref="F415" ca="1">+_xludf.IFS(E415="50% teletrabajo",0.5, E415="25% teletrabajo",0.75,E415="75% teletrabajo",0.25,E415="100% teletrabajo",0,E415="100% trabajo presencial",1)</f>
        <v>#NAME?</v>
      </c>
      <c r="G415" s="1310" t="s">
        <v>1995</v>
      </c>
      <c r="H415" s="1310" t="e">
        <f t="array" aca="1" ref="H415" ca="1">+_xludf.IFS(G415="Vehículo - Uso individual","Auto",G415="Vehículo - Uso compartido","Auto",G415="Transporte público","Bus",G415="Moto","Moto",G415="Bicicleta o caminando","Bicicleta")</f>
        <v>#NAME?</v>
      </c>
      <c r="I415" s="1310">
        <v>0.25</v>
      </c>
      <c r="J415" s="1310">
        <v>45</v>
      </c>
      <c r="K415" s="1312" t="e">
        <f t="shared" ca="1" si="13"/>
        <v>#NAME?</v>
      </c>
      <c r="L415" s="1315" t="e">
        <f ca="1">+K415*I415*VLOOKUP(H415,'Factores Emisión EDGE'!$K$267:$L$272,2,FALSE)/1000</f>
        <v>#NAME?</v>
      </c>
    </row>
    <row r="416" spans="1:12">
      <c r="A416" s="1314">
        <v>44650.634250856485</v>
      </c>
      <c r="B416" s="1310" t="s">
        <v>2310</v>
      </c>
      <c r="C416" s="1310" t="s">
        <v>2311</v>
      </c>
      <c r="D416" s="1310" t="s">
        <v>1951</v>
      </c>
      <c r="E416" s="1310" t="s">
        <v>1960</v>
      </c>
      <c r="F416" s="1310" t="e">
        <f t="array" aca="1" ref="F416" ca="1">+_xludf.IFS(E416="50% teletrabajo",0.5, E416="25% teletrabajo",0.75,E416="75% teletrabajo",0.25,E416="100% teletrabajo",0,E416="100% trabajo presencial",1)</f>
        <v>#NAME?</v>
      </c>
      <c r="G416" s="1310" t="s">
        <v>2356</v>
      </c>
      <c r="H416" s="1310" t="e">
        <f t="array" aca="1" ref="H416" ca="1">+_xludf.IFS(G416="Vehículo - Uso individual","Auto",G416="Vehículo - Uso compartido","Auto",G416="Transporte público","Bus",G416="Moto","Moto",G416="Bicicleta o caminando","Bicicleta")</f>
        <v>#NAME?</v>
      </c>
      <c r="I416" s="1310">
        <v>1</v>
      </c>
      <c r="J416" s="1310">
        <v>0</v>
      </c>
      <c r="K416" s="1312" t="e">
        <f t="shared" ca="1" si="13"/>
        <v>#NAME?</v>
      </c>
      <c r="L416" s="1315"/>
    </row>
    <row r="417" spans="1:12">
      <c r="A417" s="1314">
        <v>44650.641660046298</v>
      </c>
      <c r="B417" s="1310" t="s">
        <v>2338</v>
      </c>
      <c r="C417" s="1310" t="s">
        <v>2339</v>
      </c>
      <c r="D417" s="1310" t="s">
        <v>1951</v>
      </c>
      <c r="E417" s="1310" t="s">
        <v>1960</v>
      </c>
      <c r="F417" s="1310" t="e">
        <f t="array" aca="1" ref="F417" ca="1">+_xludf.IFS(E417="50% teletrabajo",0.5, E417="25% teletrabajo",0.75,E417="75% teletrabajo",0.25,E417="100% teletrabajo",0,E417="100% trabajo presencial",1)</f>
        <v>#NAME?</v>
      </c>
      <c r="G417" s="1310" t="s">
        <v>2356</v>
      </c>
      <c r="H417" s="1310" t="e">
        <f t="array" aca="1" ref="H417" ca="1">+_xludf.IFS(G417="Vehículo - Uso individual","Auto",G417="Vehículo - Uso compartido","Auto",G417="Transporte público","Bus",G417="Moto","Moto",G417="Bicicleta o caminando","Bicicleta")</f>
        <v>#NAME?</v>
      </c>
      <c r="I417" s="1310">
        <v>1</v>
      </c>
      <c r="J417" s="1310">
        <v>0</v>
      </c>
      <c r="K417" s="1312" t="e">
        <f t="shared" ca="1" si="13"/>
        <v>#NAME?</v>
      </c>
      <c r="L417" s="1315"/>
    </row>
    <row r="418" spans="1:12">
      <c r="A418" s="1314">
        <v>44650.643378171299</v>
      </c>
      <c r="B418" s="1310" t="s">
        <v>2739</v>
      </c>
      <c r="C418" s="1310" t="s">
        <v>2740</v>
      </c>
      <c r="D418" s="1310" t="s">
        <v>1951</v>
      </c>
      <c r="E418" s="1310" t="s">
        <v>868</v>
      </c>
      <c r="F418" s="1310" t="e">
        <f t="array" aca="1" ref="F418" ca="1">+_xludf.IFS(E418="50% teletrabajo",0.5, E418="25% teletrabajo",0.75,E418="75% teletrabajo",0.25,E418="100% teletrabajo",0,E418="100% trabajo presencial",1)</f>
        <v>#NAME?</v>
      </c>
      <c r="G418" s="1310" t="s">
        <v>1952</v>
      </c>
      <c r="H418" s="1310" t="e">
        <f t="array" aca="1" ref="H418" ca="1">+_xludf.IFS(G418="Vehículo - Uso individual","Auto",G418="Vehículo - Uso compartido","Auto",G418="Transporte público","Bus",G418="Moto","Moto",G418="Bicicleta o caminando","Bicicleta")</f>
        <v>#NAME?</v>
      </c>
      <c r="I418" s="1310">
        <v>1</v>
      </c>
      <c r="J418" s="1310">
        <v>5</v>
      </c>
      <c r="K418" s="1312" t="e">
        <f t="shared" ca="1" si="13"/>
        <v>#NAME?</v>
      </c>
      <c r="L418" s="1315" t="e">
        <f ca="1">+K418*I418*VLOOKUP(H418,'Factores Emisión EDGE'!$K$267:$L$272,2,FALSE)/1000</f>
        <v>#NAME?</v>
      </c>
    </row>
    <row r="419" spans="1:12">
      <c r="A419" s="1314">
        <v>44650.643571423614</v>
      </c>
      <c r="B419" s="1310" t="s">
        <v>2741</v>
      </c>
      <c r="C419" s="1310" t="s">
        <v>2742</v>
      </c>
      <c r="D419" s="1310" t="s">
        <v>1951</v>
      </c>
      <c r="E419" s="1310" t="s">
        <v>1960</v>
      </c>
      <c r="F419" s="1310" t="e">
        <f t="array" aca="1" ref="F419" ca="1">+_xludf.IFS(E419="50% teletrabajo",0.5, E419="25% teletrabajo",0.75,E419="75% teletrabajo",0.25,E419="100% teletrabajo",0,E419="100% trabajo presencial",1)</f>
        <v>#NAME?</v>
      </c>
      <c r="G419" s="1310" t="s">
        <v>2356</v>
      </c>
      <c r="H419" s="1310" t="e">
        <f t="array" aca="1" ref="H419" ca="1">+_xludf.IFS(G419="Vehículo - Uso individual","Auto",G419="Vehículo - Uso compartido","Auto",G419="Transporte público","Bus",G419="Moto","Moto",G419="Bicicleta o caminando","Bicicleta")</f>
        <v>#NAME?</v>
      </c>
      <c r="I419" s="1310">
        <v>1</v>
      </c>
      <c r="J419" s="1310">
        <v>33</v>
      </c>
      <c r="K419" s="1312" t="e">
        <f t="shared" ca="1" si="13"/>
        <v>#NAME?</v>
      </c>
      <c r="L419" s="1315"/>
    </row>
    <row r="420" spans="1:12">
      <c r="A420" s="1314">
        <v>44650.644466469908</v>
      </c>
      <c r="B420" s="1310" t="s">
        <v>2743</v>
      </c>
      <c r="C420" s="1310" t="s">
        <v>2744</v>
      </c>
      <c r="D420" s="1310" t="s">
        <v>1951</v>
      </c>
      <c r="E420" s="1310" t="s">
        <v>868</v>
      </c>
      <c r="F420" s="1310" t="e">
        <f t="array" aca="1" ref="F420" ca="1">+_xludf.IFS(E420="50% teletrabajo",0.5, E420="25% teletrabajo",0.75,E420="75% teletrabajo",0.25,E420="100% teletrabajo",0,E420="100% trabajo presencial",1)</f>
        <v>#NAME?</v>
      </c>
      <c r="G420" s="1310" t="s">
        <v>1952</v>
      </c>
      <c r="H420" s="1310" t="e">
        <f t="array" aca="1" ref="H420" ca="1">+_xludf.IFS(G420="Vehículo - Uso individual","Auto",G420="Vehículo - Uso compartido","Auto",G420="Transporte público","Bus",G420="Moto","Moto",G420="Bicicleta o caminando","Bicicleta")</f>
        <v>#NAME?</v>
      </c>
      <c r="I420" s="1310">
        <v>1</v>
      </c>
      <c r="J420" s="1310">
        <v>28.3</v>
      </c>
      <c r="K420" s="1312" t="e">
        <f t="shared" ca="1" si="13"/>
        <v>#NAME?</v>
      </c>
      <c r="L420" s="1315" t="e">
        <f ca="1">+K420*I420*VLOOKUP(H420,'Factores Emisión EDGE'!$K$267:$L$272,2,FALSE)/1000</f>
        <v>#NAME?</v>
      </c>
    </row>
    <row r="421" spans="1:12">
      <c r="A421" s="1314">
        <v>44650.649924398153</v>
      </c>
      <c r="B421" s="1310" t="s">
        <v>2745</v>
      </c>
      <c r="C421" s="1310" t="s">
        <v>2746</v>
      </c>
      <c r="D421" s="1310" t="s">
        <v>1951</v>
      </c>
      <c r="E421" s="1310" t="s">
        <v>1965</v>
      </c>
      <c r="F421" s="1310" t="e">
        <f t="array" aca="1" ref="F421" ca="1">+_xludf.IFS(E421="50% teletrabajo",0.5, E421="25% teletrabajo",0.75,E421="75% teletrabajo",0.25,E421="100% teletrabajo",0,E421="100% trabajo presencial",1)</f>
        <v>#NAME?</v>
      </c>
      <c r="G421" s="1310" t="s">
        <v>1952</v>
      </c>
      <c r="H421" s="1310" t="e">
        <f t="array" aca="1" ref="H421" ca="1">+_xludf.IFS(G421="Vehículo - Uso individual","Auto",G421="Vehículo - Uso compartido","Auto",G421="Transporte público","Bus",G421="Moto","Moto",G421="Bicicleta o caminando","Bicicleta")</f>
        <v>#NAME?</v>
      </c>
      <c r="I421" s="1310">
        <v>1</v>
      </c>
      <c r="J421" s="1310">
        <v>5</v>
      </c>
      <c r="K421" s="1312" t="e">
        <f t="shared" ca="1" si="13"/>
        <v>#NAME?</v>
      </c>
      <c r="L421" s="1315" t="e">
        <f ca="1">+K421*I421*VLOOKUP(H421,'Factores Emisión EDGE'!$K$267:$L$272,2,FALSE)/1000</f>
        <v>#NAME?</v>
      </c>
    </row>
    <row r="422" spans="1:12">
      <c r="A422" s="1314">
        <v>44650.651410740742</v>
      </c>
      <c r="B422" s="1310" t="s">
        <v>2747</v>
      </c>
      <c r="C422" s="1310" t="s">
        <v>2748</v>
      </c>
      <c r="D422" s="1310" t="s">
        <v>1951</v>
      </c>
      <c r="E422" s="1310" t="s">
        <v>868</v>
      </c>
      <c r="F422" s="1310" t="e">
        <f t="array" aca="1" ref="F422" ca="1">+_xludf.IFS(E422="50% teletrabajo",0.5, E422="25% teletrabajo",0.75,E422="75% teletrabajo",0.25,E422="100% teletrabajo",0,E422="100% trabajo presencial",1)</f>
        <v>#NAME?</v>
      </c>
      <c r="G422" s="1310" t="s">
        <v>1995</v>
      </c>
      <c r="H422" s="1310" t="e">
        <f t="array" aca="1" ref="H422" ca="1">+_xludf.IFS(G422="Vehículo - Uso individual","Auto",G422="Vehículo - Uso compartido","Auto",G422="Transporte público","Bus",G422="Moto","Moto",G422="Bicicleta o caminando","Bicicleta")</f>
        <v>#NAME?</v>
      </c>
      <c r="I422" s="1310">
        <v>0.25</v>
      </c>
      <c r="J422" s="1310">
        <v>30</v>
      </c>
      <c r="K422" s="1312" t="e">
        <f t="shared" ca="1" si="13"/>
        <v>#NAME?</v>
      </c>
      <c r="L422" s="1315" t="e">
        <f ca="1">+K422*I422*VLOOKUP(H422,'Factores Emisión EDGE'!$K$267:$L$272,2,FALSE)/1000</f>
        <v>#NAME?</v>
      </c>
    </row>
    <row r="423" spans="1:12">
      <c r="A423" s="1314">
        <v>44650.651812719909</v>
      </c>
      <c r="B423" s="1310" t="s">
        <v>2749</v>
      </c>
      <c r="C423" s="1310" t="s">
        <v>2750</v>
      </c>
      <c r="D423" s="1310" t="s">
        <v>1951</v>
      </c>
      <c r="E423" s="1310" t="s">
        <v>868</v>
      </c>
      <c r="F423" s="1310" t="e">
        <f t="array" aca="1" ref="F423" ca="1">+_xludf.IFS(E423="50% teletrabajo",0.5, E423="25% teletrabajo",0.75,E423="75% teletrabajo",0.25,E423="100% teletrabajo",0,E423="100% trabajo presencial",1)</f>
        <v>#NAME?</v>
      </c>
      <c r="G423" s="1310" t="s">
        <v>1952</v>
      </c>
      <c r="H423" s="1310" t="e">
        <f t="array" aca="1" ref="H423" ca="1">+_xludf.IFS(G423="Vehículo - Uso individual","Auto",G423="Vehículo - Uso compartido","Auto",G423="Transporte público","Bus",G423="Moto","Moto",G423="Bicicleta o caminando","Bicicleta")</f>
        <v>#NAME?</v>
      </c>
      <c r="I423" s="1310">
        <v>1</v>
      </c>
      <c r="J423" s="1310">
        <v>5</v>
      </c>
      <c r="K423" s="1312" t="e">
        <f t="shared" ca="1" si="13"/>
        <v>#NAME?</v>
      </c>
      <c r="L423" s="1315" t="e">
        <f ca="1">+K423*I423*VLOOKUP(H423,'Factores Emisión EDGE'!$K$267:$L$272,2,FALSE)/1000</f>
        <v>#NAME?</v>
      </c>
    </row>
    <row r="424" spans="1:12">
      <c r="A424" s="1314">
        <v>44650.655124895835</v>
      </c>
      <c r="B424" s="1310" t="s">
        <v>2751</v>
      </c>
      <c r="C424" s="1310" t="s">
        <v>2752</v>
      </c>
      <c r="D424" s="1310" t="s">
        <v>1951</v>
      </c>
      <c r="E424" s="1310" t="s">
        <v>1965</v>
      </c>
      <c r="F424" s="1310" t="e">
        <f t="array" aca="1" ref="F424" ca="1">+_xludf.IFS(E424="50% teletrabajo",0.5, E424="25% teletrabajo",0.75,E424="75% teletrabajo",0.25,E424="100% teletrabajo",0,E424="100% trabajo presencial",1)</f>
        <v>#NAME?</v>
      </c>
      <c r="G424" s="1310" t="s">
        <v>1952</v>
      </c>
      <c r="H424" s="1310" t="e">
        <f t="array" aca="1" ref="H424" ca="1">+_xludf.IFS(G424="Vehículo - Uso individual","Auto",G424="Vehículo - Uso compartido","Auto",G424="Transporte público","Bus",G424="Moto","Moto",G424="Bicicleta o caminando","Bicicleta")</f>
        <v>#NAME?</v>
      </c>
      <c r="I424" s="1310">
        <v>1</v>
      </c>
      <c r="J424" s="1310">
        <v>10</v>
      </c>
      <c r="K424" s="1312" t="e">
        <f t="shared" ca="1" si="13"/>
        <v>#NAME?</v>
      </c>
      <c r="L424" s="1315" t="e">
        <f ca="1">+K424*I424*VLOOKUP(H424,'Factores Emisión EDGE'!$K$267:$L$272,2,FALSE)/1000</f>
        <v>#NAME?</v>
      </c>
    </row>
    <row r="425" spans="1:12">
      <c r="A425" s="1314">
        <v>44650.660596921298</v>
      </c>
      <c r="B425" s="1310" t="s">
        <v>2753</v>
      </c>
      <c r="C425" s="1310" t="s">
        <v>2754</v>
      </c>
      <c r="D425" s="1310" t="s">
        <v>1951</v>
      </c>
      <c r="E425" s="1310" t="s">
        <v>872</v>
      </c>
      <c r="F425" s="1310" t="e">
        <f t="array" aca="1" ref="F425" ca="1">+_xludf.IFS(E425="50% teletrabajo",0.5, E425="25% teletrabajo",0.75,E425="75% teletrabajo",0.25,E425="100% teletrabajo",0,E425="100% trabajo presencial",1)</f>
        <v>#NAME?</v>
      </c>
      <c r="G425" s="1310" t="s">
        <v>1952</v>
      </c>
      <c r="H425" s="1310" t="e">
        <f t="array" aca="1" ref="H425" ca="1">+_xludf.IFS(G425="Vehículo - Uso individual","Auto",G425="Vehículo - Uso compartido","Auto",G425="Transporte público","Bus",G425="Moto","Moto",G425="Bicicleta o caminando","Bicicleta")</f>
        <v>#NAME?</v>
      </c>
      <c r="I425" s="1310">
        <v>1</v>
      </c>
      <c r="J425" s="1310">
        <v>30.5</v>
      </c>
      <c r="K425" s="1312" t="e">
        <f t="shared" ca="1" si="13"/>
        <v>#NAME?</v>
      </c>
      <c r="L425" s="1315" t="e">
        <f ca="1">+K425*I425*VLOOKUP(H425,'Factores Emisión EDGE'!$K$267:$L$272,2,FALSE)/1000</f>
        <v>#NAME?</v>
      </c>
    </row>
    <row r="426" spans="1:12">
      <c r="A426" s="1314">
        <v>44650.663959444442</v>
      </c>
      <c r="B426" s="1310" t="s">
        <v>2755</v>
      </c>
      <c r="C426" s="1310" t="s">
        <v>2756</v>
      </c>
      <c r="D426" s="1310" t="s">
        <v>1951</v>
      </c>
      <c r="E426" s="1310" t="s">
        <v>868</v>
      </c>
      <c r="F426" s="1310" t="e">
        <f t="array" aca="1" ref="F426" ca="1">+_xludf.IFS(E426="50% teletrabajo",0.5, E426="25% teletrabajo",0.75,E426="75% teletrabajo",0.25,E426="100% teletrabajo",0,E426="100% trabajo presencial",1)</f>
        <v>#NAME?</v>
      </c>
      <c r="G426" s="1310" t="s">
        <v>1964</v>
      </c>
      <c r="H426" s="1310" t="e">
        <f t="array" aca="1" ref="H426" ca="1">+_xludf.IFS(G426="Vehículo - Uso individual","Auto",G426="Vehículo - Uso compartido","Auto",G426="Transporte público","Bus",G426="Moto","Moto",G426="Bicicleta o caminando","Bicicleta")</f>
        <v>#NAME?</v>
      </c>
      <c r="I426" s="1310">
        <v>1</v>
      </c>
      <c r="J426" s="1310">
        <v>14</v>
      </c>
      <c r="K426" s="1312" t="e">
        <f t="shared" ca="1" si="13"/>
        <v>#NAME?</v>
      </c>
      <c r="L426" s="1315" t="e">
        <f ca="1">+K426*I426*VLOOKUP(H426,'Factores Emisión EDGE'!$K$267:$L$272,2,FALSE)/1000</f>
        <v>#NAME?</v>
      </c>
    </row>
    <row r="427" spans="1:12">
      <c r="A427" s="1314">
        <v>44650.665227731486</v>
      </c>
      <c r="B427" s="1310" t="s">
        <v>2757</v>
      </c>
      <c r="C427" s="1310" t="s">
        <v>2758</v>
      </c>
      <c r="D427" s="1310" t="s">
        <v>1951</v>
      </c>
      <c r="E427" s="1310" t="s">
        <v>1960</v>
      </c>
      <c r="F427" s="1310" t="e">
        <f t="array" aca="1" ref="F427" ca="1">+_xludf.IFS(E427="50% teletrabajo",0.5, E427="25% teletrabajo",0.75,E427="75% teletrabajo",0.25,E427="100% teletrabajo",0,E427="100% trabajo presencial",1)</f>
        <v>#NAME?</v>
      </c>
      <c r="G427" s="1310" t="s">
        <v>2356</v>
      </c>
      <c r="H427" s="1310" t="e">
        <f t="array" aca="1" ref="H427" ca="1">+_xludf.IFS(G427="Vehículo - Uso individual","Auto",G427="Vehículo - Uso compartido","Auto",G427="Transporte público","Bus",G427="Moto","Moto",G427="Bicicleta o caminando","Bicicleta")</f>
        <v>#NAME?</v>
      </c>
      <c r="I427" s="1310">
        <v>1</v>
      </c>
      <c r="J427" s="1310">
        <v>0</v>
      </c>
      <c r="K427" s="1312" t="e">
        <f t="shared" ca="1" si="13"/>
        <v>#NAME?</v>
      </c>
      <c r="L427" s="1315"/>
    </row>
    <row r="428" spans="1:12">
      <c r="A428" s="1314">
        <v>44650.672013912037</v>
      </c>
      <c r="B428" s="1310" t="s">
        <v>2759</v>
      </c>
      <c r="C428" s="1310" t="s">
        <v>2760</v>
      </c>
      <c r="D428" s="1310" t="s">
        <v>1951</v>
      </c>
      <c r="E428" s="1310" t="s">
        <v>868</v>
      </c>
      <c r="F428" s="1310" t="e">
        <f t="array" aca="1" ref="F428" ca="1">+_xludf.IFS(E428="50% teletrabajo",0.5, E428="25% teletrabajo",0.75,E428="75% teletrabajo",0.25,E428="100% teletrabajo",0,E428="100% trabajo presencial",1)</f>
        <v>#NAME?</v>
      </c>
      <c r="G428" s="1310" t="s">
        <v>863</v>
      </c>
      <c r="H428" s="1310" t="e">
        <f t="array" aca="1" ref="H428" ca="1">+_xludf.IFS(G428="Vehículo - Uso individual","Auto",G428="Vehículo - Uso compartido","Auto",G428="Transporte público","Bus",G428="Moto","Moto",G428="Bicicleta o caminando","Bicicleta")</f>
        <v>#NAME?</v>
      </c>
      <c r="I428" s="1310">
        <v>1</v>
      </c>
      <c r="J428" s="1310">
        <v>6</v>
      </c>
      <c r="K428" s="1312" t="e">
        <f t="shared" ca="1" si="13"/>
        <v>#NAME?</v>
      </c>
      <c r="L428" s="1315" t="e">
        <f ca="1">+K428*I428*VLOOKUP(H428,'Factores Emisión EDGE'!$K$267:$L$272,2,FALSE)/1000</f>
        <v>#NAME?</v>
      </c>
    </row>
    <row r="429" spans="1:12">
      <c r="A429" s="1314">
        <v>44650.676758958332</v>
      </c>
      <c r="B429" s="1310" t="s">
        <v>2761</v>
      </c>
      <c r="C429" s="1310" t="s">
        <v>2762</v>
      </c>
      <c r="D429" s="1310" t="s">
        <v>1951</v>
      </c>
      <c r="E429" s="1310" t="s">
        <v>1960</v>
      </c>
      <c r="F429" s="1310" t="e">
        <f t="array" aca="1" ref="F429" ca="1">+_xludf.IFS(E429="50% teletrabajo",0.5, E429="25% teletrabajo",0.75,E429="75% teletrabajo",0.25,E429="100% teletrabajo",0,E429="100% trabajo presencial",1)</f>
        <v>#NAME?</v>
      </c>
      <c r="G429" s="1310" t="s">
        <v>2356</v>
      </c>
      <c r="H429" s="1310" t="e">
        <f t="array" aca="1" ref="H429" ca="1">+_xludf.IFS(G429="Vehículo - Uso individual","Auto",G429="Vehículo - Uso compartido","Auto",G429="Transporte público","Bus",G429="Moto","Moto",G429="Bicicleta o caminando","Bicicleta")</f>
        <v>#NAME?</v>
      </c>
      <c r="I429" s="1310">
        <v>1</v>
      </c>
      <c r="J429" s="1310"/>
      <c r="K429" s="1312" t="e">
        <f t="shared" ca="1" si="13"/>
        <v>#NAME?</v>
      </c>
      <c r="L429" s="1315"/>
    </row>
    <row r="430" spans="1:12">
      <c r="A430" s="1314">
        <v>44650.677749317125</v>
      </c>
      <c r="B430" s="1310" t="s">
        <v>2761</v>
      </c>
      <c r="C430" s="1310" t="s">
        <v>2762</v>
      </c>
      <c r="D430" s="1310" t="s">
        <v>1951</v>
      </c>
      <c r="E430" s="1310" t="s">
        <v>1960</v>
      </c>
      <c r="F430" s="1310" t="e">
        <f t="array" aca="1" ref="F430" ca="1">+_xludf.IFS(E430="50% teletrabajo",0.5, E430="25% teletrabajo",0.75,E430="75% teletrabajo",0.25,E430="100% teletrabajo",0,E430="100% trabajo presencial",1)</f>
        <v>#NAME?</v>
      </c>
      <c r="G430" s="1310" t="s">
        <v>2356</v>
      </c>
      <c r="H430" s="1310" t="e">
        <f t="array" aca="1" ref="H430" ca="1">+_xludf.IFS(G430="Vehículo - Uso individual","Auto",G430="Vehículo - Uso compartido","Auto",G430="Transporte público","Bus",G430="Moto","Moto",G430="Bicicleta o caminando","Bicicleta")</f>
        <v>#NAME?</v>
      </c>
      <c r="I430" s="1310">
        <v>1</v>
      </c>
      <c r="J430" s="1310"/>
      <c r="K430" s="1312" t="e">
        <f t="shared" ca="1" si="13"/>
        <v>#NAME?</v>
      </c>
      <c r="L430" s="1315"/>
    </row>
    <row r="431" spans="1:12">
      <c r="A431" s="1314">
        <v>44650.682298935186</v>
      </c>
      <c r="B431" s="1310" t="s">
        <v>2763</v>
      </c>
      <c r="C431" s="1310" t="s">
        <v>2764</v>
      </c>
      <c r="D431" s="1310" t="s">
        <v>1951</v>
      </c>
      <c r="E431" s="1310" t="s">
        <v>868</v>
      </c>
      <c r="F431" s="1310" t="e">
        <f t="array" aca="1" ref="F431" ca="1">+_xludf.IFS(E431="50% teletrabajo",0.5, E431="25% teletrabajo",0.75,E431="75% teletrabajo",0.25,E431="100% teletrabajo",0,E431="100% trabajo presencial",1)</f>
        <v>#NAME?</v>
      </c>
      <c r="G431" s="1310" t="s">
        <v>1964</v>
      </c>
      <c r="H431" s="1310" t="e">
        <f t="array" aca="1" ref="H431" ca="1">+_xludf.IFS(G431="Vehículo - Uso individual","Auto",G431="Vehículo - Uso compartido","Auto",G431="Transporte público","Bus",G431="Moto","Moto",G431="Bicicleta o caminando","Bicicleta")</f>
        <v>#NAME?</v>
      </c>
      <c r="I431" s="1310">
        <v>1</v>
      </c>
      <c r="J431" s="1310">
        <v>18</v>
      </c>
      <c r="K431" s="1312" t="e">
        <f t="shared" ca="1" si="13"/>
        <v>#NAME?</v>
      </c>
      <c r="L431" s="1315" t="e">
        <f ca="1">+K431*I431*VLOOKUP(H431,'Factores Emisión EDGE'!$K$267:$L$272,2,FALSE)/1000</f>
        <v>#NAME?</v>
      </c>
    </row>
    <row r="432" spans="1:12">
      <c r="A432" s="1314">
        <v>44650.685691666666</v>
      </c>
      <c r="B432" s="1310" t="s">
        <v>2765</v>
      </c>
      <c r="C432" s="1310" t="s">
        <v>2766</v>
      </c>
      <c r="D432" s="1310" t="s">
        <v>1951</v>
      </c>
      <c r="E432" s="1310" t="s">
        <v>868</v>
      </c>
      <c r="F432" s="1310" t="e">
        <f t="array" aca="1" ref="F432" ca="1">+_xludf.IFS(E432="50% teletrabajo",0.5, E432="25% teletrabajo",0.75,E432="75% teletrabajo",0.25,E432="100% teletrabajo",0,E432="100% trabajo presencial",1)</f>
        <v>#NAME?</v>
      </c>
      <c r="G432" s="1310" t="s">
        <v>1995</v>
      </c>
      <c r="H432" s="1310" t="e">
        <f t="array" aca="1" ref="H432" ca="1">+_xludf.IFS(G432="Vehículo - Uso individual","Auto",G432="Vehículo - Uso compartido","Auto",G432="Transporte público","Bus",G432="Moto","Moto",G432="Bicicleta o caminando","Bicicleta")</f>
        <v>#NAME?</v>
      </c>
      <c r="I432" s="1310">
        <v>0.25</v>
      </c>
      <c r="J432" s="1310">
        <v>3</v>
      </c>
      <c r="K432" s="1312" t="e">
        <f t="shared" ca="1" si="13"/>
        <v>#NAME?</v>
      </c>
      <c r="L432" s="1315" t="e">
        <f ca="1">+K432*I432*VLOOKUP(H432,'Factores Emisión EDGE'!$K$267:$L$272,2,FALSE)/1000</f>
        <v>#NAME?</v>
      </c>
    </row>
    <row r="433" spans="1:12">
      <c r="A433" s="1314">
        <v>44650.691188171295</v>
      </c>
      <c r="B433" s="1310" t="s">
        <v>2767</v>
      </c>
      <c r="C433" s="1310" t="s">
        <v>2768</v>
      </c>
      <c r="D433" s="1310" t="s">
        <v>1951</v>
      </c>
      <c r="E433" s="1310" t="s">
        <v>868</v>
      </c>
      <c r="F433" s="1310" t="e">
        <f t="array" aca="1" ref="F433" ca="1">+_xludf.IFS(E433="50% teletrabajo",0.5, E433="25% teletrabajo",0.75,E433="75% teletrabajo",0.25,E433="100% teletrabajo",0,E433="100% trabajo presencial",1)</f>
        <v>#NAME?</v>
      </c>
      <c r="G433" s="1310" t="s">
        <v>1952</v>
      </c>
      <c r="H433" s="1310" t="e">
        <f t="array" aca="1" ref="H433" ca="1">+_xludf.IFS(G433="Vehículo - Uso individual","Auto",G433="Vehículo - Uso compartido","Auto",G433="Transporte público","Bus",G433="Moto","Moto",G433="Bicicleta o caminando","Bicicleta")</f>
        <v>#NAME?</v>
      </c>
      <c r="I433" s="1310">
        <v>1</v>
      </c>
      <c r="J433" s="1320">
        <v>14000</v>
      </c>
      <c r="K433" s="1312" t="e">
        <f ca="1">+J433*F433</f>
        <v>#NAME?</v>
      </c>
      <c r="L433" s="1315" t="e">
        <f ca="1">+K433*I433*VLOOKUP(H433,'Factores Emisión EDGE'!$K$267:$L$272,2,FALSE)/1000</f>
        <v>#NAME?</v>
      </c>
    </row>
    <row r="434" spans="1:12">
      <c r="A434" s="1314">
        <v>44650.692560682874</v>
      </c>
      <c r="B434" s="1310" t="s">
        <v>2769</v>
      </c>
      <c r="C434" s="1310" t="s">
        <v>2770</v>
      </c>
      <c r="D434" s="1310" t="s">
        <v>1951</v>
      </c>
      <c r="E434" s="1310" t="s">
        <v>868</v>
      </c>
      <c r="F434" s="1310" t="e">
        <f t="array" aca="1" ref="F434" ca="1">+_xludf.IFS(E434="50% teletrabajo",0.5, E434="25% teletrabajo",0.75,E434="75% teletrabajo",0.25,E434="100% teletrabajo",0,E434="100% trabajo presencial",1)</f>
        <v>#NAME?</v>
      </c>
      <c r="G434" s="1310" t="s">
        <v>1995</v>
      </c>
      <c r="H434" s="1310" t="e">
        <f t="array" aca="1" ref="H434" ca="1">+_xludf.IFS(G434="Vehículo - Uso individual","Auto",G434="Vehículo - Uso compartido","Auto",G434="Transporte público","Bus",G434="Moto","Moto",G434="Bicicleta o caminando","Bicicleta")</f>
        <v>#NAME?</v>
      </c>
      <c r="I434" s="1310">
        <v>0.25</v>
      </c>
      <c r="J434" s="1310">
        <v>2.5</v>
      </c>
      <c r="K434" s="1312" t="e">
        <f t="shared" ref="K434:K548" ca="1" si="14">+J434*5*50*2*F434</f>
        <v>#NAME?</v>
      </c>
      <c r="L434" s="1315" t="e">
        <f ca="1">+K434*I434*VLOOKUP(H434,'Factores Emisión EDGE'!$K$267:$L$272,2,FALSE)/1000</f>
        <v>#NAME?</v>
      </c>
    </row>
    <row r="435" spans="1:12">
      <c r="A435" s="1314">
        <v>44650.693096145835</v>
      </c>
      <c r="B435" s="1310" t="s">
        <v>2769</v>
      </c>
      <c r="C435" s="1310" t="s">
        <v>2770</v>
      </c>
      <c r="D435" s="1310" t="s">
        <v>1951</v>
      </c>
      <c r="E435" s="1310" t="s">
        <v>868</v>
      </c>
      <c r="F435" s="1310" t="e">
        <f t="array" aca="1" ref="F435" ca="1">+_xludf.IFS(E435="50% teletrabajo",0.5, E435="25% teletrabajo",0.75,E435="75% teletrabajo",0.25,E435="100% teletrabajo",0,E435="100% trabajo presencial",1)</f>
        <v>#NAME?</v>
      </c>
      <c r="G435" s="1310" t="s">
        <v>1995</v>
      </c>
      <c r="H435" s="1310" t="e">
        <f t="array" aca="1" ref="H435" ca="1">+_xludf.IFS(G435="Vehículo - Uso individual","Auto",G435="Vehículo - Uso compartido","Auto",G435="Transporte público","Bus",G435="Moto","Moto",G435="Bicicleta o caminando","Bicicleta")</f>
        <v>#NAME?</v>
      </c>
      <c r="I435" s="1310">
        <v>0.25</v>
      </c>
      <c r="J435" s="1310">
        <v>2.5</v>
      </c>
      <c r="K435" s="1312" t="e">
        <f t="shared" ca="1" si="14"/>
        <v>#NAME?</v>
      </c>
      <c r="L435" s="1315" t="e">
        <f ca="1">+K435*I435*VLOOKUP(H435,'Factores Emisión EDGE'!$K$267:$L$272,2,FALSE)/1000</f>
        <v>#NAME?</v>
      </c>
    </row>
    <row r="436" spans="1:12">
      <c r="A436" s="1314">
        <v>44650.694424965273</v>
      </c>
      <c r="B436" s="1310" t="s">
        <v>2771</v>
      </c>
      <c r="C436" s="1310" t="s">
        <v>2772</v>
      </c>
      <c r="D436" s="1310" t="s">
        <v>1951</v>
      </c>
      <c r="E436" s="1310" t="s">
        <v>868</v>
      </c>
      <c r="F436" s="1310" t="e">
        <f t="array" aca="1" ref="F436" ca="1">+_xludf.IFS(E436="50% teletrabajo",0.5, E436="25% teletrabajo",0.75,E436="75% teletrabajo",0.25,E436="100% teletrabajo",0,E436="100% trabajo presencial",1)</f>
        <v>#NAME?</v>
      </c>
      <c r="G436" s="1310" t="s">
        <v>1952</v>
      </c>
      <c r="H436" s="1310" t="e">
        <f t="array" aca="1" ref="H436" ca="1">+_xludf.IFS(G436="Vehículo - Uso individual","Auto",G436="Vehículo - Uso compartido","Auto",G436="Transporte público","Bus",G436="Moto","Moto",G436="Bicicleta o caminando","Bicicleta")</f>
        <v>#NAME?</v>
      </c>
      <c r="I436" s="1310">
        <v>1</v>
      </c>
      <c r="J436" s="1310">
        <v>7</v>
      </c>
      <c r="K436" s="1312" t="e">
        <f t="shared" ca="1" si="14"/>
        <v>#NAME?</v>
      </c>
      <c r="L436" s="1315" t="e">
        <f ca="1">+K436*I436*VLOOKUP(H436,'Factores Emisión EDGE'!$K$267:$L$272,2,FALSE)/1000</f>
        <v>#NAME?</v>
      </c>
    </row>
    <row r="437" spans="1:12">
      <c r="A437" s="1314">
        <v>44650.711187407403</v>
      </c>
      <c r="B437" s="1310" t="s">
        <v>2773</v>
      </c>
      <c r="C437" s="1310" t="s">
        <v>2774</v>
      </c>
      <c r="D437" s="1310" t="s">
        <v>1951</v>
      </c>
      <c r="E437" s="1310" t="s">
        <v>872</v>
      </c>
      <c r="F437" s="1310" t="e">
        <f t="array" aca="1" ref="F437" ca="1">+_xludf.IFS(E437="50% teletrabajo",0.5, E437="25% teletrabajo",0.75,E437="75% teletrabajo",0.25,E437="100% teletrabajo",0,E437="100% trabajo presencial",1)</f>
        <v>#NAME?</v>
      </c>
      <c r="G437" s="1310" t="s">
        <v>1952</v>
      </c>
      <c r="H437" s="1310" t="e">
        <f t="array" aca="1" ref="H437" ca="1">+_xludf.IFS(G437="Vehículo - Uso individual","Auto",G437="Vehículo - Uso compartido","Auto",G437="Transporte público","Bus",G437="Moto","Moto",G437="Bicicleta o caminando","Bicicleta")</f>
        <v>#NAME?</v>
      </c>
      <c r="I437" s="1310">
        <v>1</v>
      </c>
      <c r="J437" s="1310">
        <v>15</v>
      </c>
      <c r="K437" s="1312" t="e">
        <f t="shared" ca="1" si="14"/>
        <v>#NAME?</v>
      </c>
      <c r="L437" s="1315" t="e">
        <f ca="1">+K437*I437*VLOOKUP(H437,'Factores Emisión EDGE'!$K$267:$L$272,2,FALSE)/1000</f>
        <v>#NAME?</v>
      </c>
    </row>
    <row r="438" spans="1:12">
      <c r="A438" s="1314">
        <v>44650.712149444444</v>
      </c>
      <c r="B438" s="1310" t="s">
        <v>2775</v>
      </c>
      <c r="C438" s="1310" t="s">
        <v>2776</v>
      </c>
      <c r="D438" s="1310" t="s">
        <v>1951</v>
      </c>
      <c r="E438" s="1310" t="s">
        <v>1955</v>
      </c>
      <c r="F438" s="1310" t="e">
        <f t="array" aca="1" ref="F438" ca="1">+_xludf.IFS(E438="50% teletrabajo",0.5, E438="25% teletrabajo",0.75,E438="75% teletrabajo",0.25,E438="100% teletrabajo",0,E438="100% trabajo presencial",1)</f>
        <v>#NAME?</v>
      </c>
      <c r="G438" s="1310" t="s">
        <v>1952</v>
      </c>
      <c r="H438" s="1310" t="e">
        <f t="array" aca="1" ref="H438" ca="1">+_xludf.IFS(G438="Vehículo - Uso individual","Auto",G438="Vehículo - Uso compartido","Auto",G438="Transporte público","Bus",G438="Moto","Moto",G438="Bicicleta o caminando","Bicicleta")</f>
        <v>#NAME?</v>
      </c>
      <c r="I438" s="1310">
        <v>1</v>
      </c>
      <c r="J438" s="1310">
        <v>150</v>
      </c>
      <c r="K438" s="1312" t="e">
        <f t="shared" ca="1" si="14"/>
        <v>#NAME?</v>
      </c>
      <c r="L438" s="1315" t="e">
        <f ca="1">+K438*I438*VLOOKUP(H438,'Factores Emisión EDGE'!$K$267:$L$272,2,FALSE)/1000</f>
        <v>#NAME?</v>
      </c>
    </row>
    <row r="439" spans="1:12">
      <c r="A439" s="1314">
        <v>44650.720949675924</v>
      </c>
      <c r="B439" s="1310" t="s">
        <v>2777</v>
      </c>
      <c r="C439" s="1310" t="s">
        <v>2778</v>
      </c>
      <c r="D439" s="1310" t="s">
        <v>1951</v>
      </c>
      <c r="E439" s="1310" t="s">
        <v>872</v>
      </c>
      <c r="F439" s="1310" t="e">
        <f t="array" aca="1" ref="F439" ca="1">+_xludf.IFS(E439="50% teletrabajo",0.5, E439="25% teletrabajo",0.75,E439="75% teletrabajo",0.25,E439="100% teletrabajo",0,E439="100% trabajo presencial",1)</f>
        <v>#NAME?</v>
      </c>
      <c r="G439" s="1310" t="s">
        <v>1952</v>
      </c>
      <c r="H439" s="1310" t="e">
        <f t="array" aca="1" ref="H439" ca="1">+_xludf.IFS(G439="Vehículo - Uso individual","Auto",G439="Vehículo - Uso compartido","Auto",G439="Transporte público","Bus",G439="Moto","Moto",G439="Bicicleta o caminando","Bicicleta")</f>
        <v>#NAME?</v>
      </c>
      <c r="I439" s="1310">
        <v>1</v>
      </c>
      <c r="J439" s="1310">
        <v>7</v>
      </c>
      <c r="K439" s="1312" t="e">
        <f t="shared" ca="1" si="14"/>
        <v>#NAME?</v>
      </c>
      <c r="L439" s="1315" t="e">
        <f ca="1">+K439*I439*VLOOKUP(H439,'Factores Emisión EDGE'!$K$267:$L$272,2,FALSE)/1000</f>
        <v>#NAME?</v>
      </c>
    </row>
    <row r="440" spans="1:12">
      <c r="A440" s="1314">
        <v>44650.728247523148</v>
      </c>
      <c r="B440" s="1310" t="s">
        <v>2779</v>
      </c>
      <c r="C440" s="1310" t="s">
        <v>2780</v>
      </c>
      <c r="D440" s="1310" t="s">
        <v>1951</v>
      </c>
      <c r="E440" s="1310" t="s">
        <v>872</v>
      </c>
      <c r="F440" s="1310" t="e">
        <f t="array" aca="1" ref="F440" ca="1">+_xludf.IFS(E440="50% teletrabajo",0.5, E440="25% teletrabajo",0.75,E440="75% teletrabajo",0.25,E440="100% teletrabajo",0,E440="100% trabajo presencial",1)</f>
        <v>#NAME?</v>
      </c>
      <c r="G440" s="1310" t="s">
        <v>1964</v>
      </c>
      <c r="H440" s="1310" t="e">
        <f t="array" aca="1" ref="H440" ca="1">+_xludf.IFS(G440="Vehículo - Uso individual","Auto",G440="Vehículo - Uso compartido","Auto",G440="Transporte público","Bus",G440="Moto","Moto",G440="Bicicleta o caminando","Bicicleta")</f>
        <v>#NAME?</v>
      </c>
      <c r="I440" s="1310">
        <v>1</v>
      </c>
      <c r="J440" s="1310">
        <v>10</v>
      </c>
      <c r="K440" s="1312" t="e">
        <f t="shared" ca="1" si="14"/>
        <v>#NAME?</v>
      </c>
      <c r="L440" s="1315" t="e">
        <f ca="1">+K440*I440*VLOOKUP(H440,'Factores Emisión EDGE'!$K$267:$L$272,2,FALSE)/1000</f>
        <v>#NAME?</v>
      </c>
    </row>
    <row r="441" spans="1:12">
      <c r="A441" s="1314">
        <v>44650.730915902779</v>
      </c>
      <c r="B441" s="1310" t="s">
        <v>2277</v>
      </c>
      <c r="C441" s="1310" t="s">
        <v>2278</v>
      </c>
      <c r="D441" s="1310" t="s">
        <v>1951</v>
      </c>
      <c r="E441" s="1310" t="s">
        <v>868</v>
      </c>
      <c r="F441" s="1310" t="e">
        <f t="array" aca="1" ref="F441" ca="1">+_xludf.IFS(E441="50% teletrabajo",0.5, E441="25% teletrabajo",0.75,E441="75% teletrabajo",0.25,E441="100% teletrabajo",0,E441="100% trabajo presencial",1)</f>
        <v>#NAME?</v>
      </c>
      <c r="G441" s="1310" t="s">
        <v>1964</v>
      </c>
      <c r="H441" s="1310" t="e">
        <f t="array" aca="1" ref="H441" ca="1">+_xludf.IFS(G441="Vehículo - Uso individual","Auto",G441="Vehículo - Uso compartido","Auto",G441="Transporte público","Bus",G441="Moto","Moto",G441="Bicicleta o caminando","Bicicleta")</f>
        <v>#NAME?</v>
      </c>
      <c r="I441" s="1310">
        <v>1</v>
      </c>
      <c r="J441" s="1310">
        <v>4.7</v>
      </c>
      <c r="K441" s="1312" t="e">
        <f t="shared" ca="1" si="14"/>
        <v>#NAME?</v>
      </c>
      <c r="L441" s="1315" t="e">
        <f ca="1">+K441*I441*VLOOKUP(H441,'Factores Emisión EDGE'!$K$267:$L$272,2,FALSE)/1000</f>
        <v>#NAME?</v>
      </c>
    </row>
    <row r="442" spans="1:12">
      <c r="A442" s="1314">
        <v>44650.73186728009</v>
      </c>
      <c r="B442" s="1310" t="s">
        <v>2781</v>
      </c>
      <c r="C442" s="1310" t="s">
        <v>2782</v>
      </c>
      <c r="D442" s="1310" t="s">
        <v>1951</v>
      </c>
      <c r="E442" s="1310" t="s">
        <v>1965</v>
      </c>
      <c r="F442" s="1310" t="e">
        <f t="array" aca="1" ref="F442" ca="1">+_xludf.IFS(E442="50% teletrabajo",0.5, E442="25% teletrabajo",0.75,E442="75% teletrabajo",0.25,E442="100% teletrabajo",0,E442="100% trabajo presencial",1)</f>
        <v>#NAME?</v>
      </c>
      <c r="G442" s="1310" t="s">
        <v>1995</v>
      </c>
      <c r="H442" s="1310" t="e">
        <f t="array" aca="1" ref="H442" ca="1">+_xludf.IFS(G442="Vehículo - Uso individual","Auto",G442="Vehículo - Uso compartido","Auto",G442="Transporte público","Bus",G442="Moto","Moto",G442="Bicicleta o caminando","Bicicleta")</f>
        <v>#NAME?</v>
      </c>
      <c r="I442" s="1310">
        <v>0.25</v>
      </c>
      <c r="J442" s="1310">
        <v>25</v>
      </c>
      <c r="K442" s="1312" t="e">
        <f t="shared" ca="1" si="14"/>
        <v>#NAME?</v>
      </c>
      <c r="L442" s="1315" t="e">
        <f ca="1">+K442*I442*VLOOKUP(H442,'Factores Emisión EDGE'!$K$267:$L$272,2,FALSE)/1000</f>
        <v>#NAME?</v>
      </c>
    </row>
    <row r="443" spans="1:12">
      <c r="A443" s="1314">
        <v>44650.735237881949</v>
      </c>
      <c r="B443" s="1310" t="s">
        <v>2783</v>
      </c>
      <c r="C443" s="1310" t="s">
        <v>2784</v>
      </c>
      <c r="D443" s="1310" t="s">
        <v>1951</v>
      </c>
      <c r="E443" s="1310" t="s">
        <v>868</v>
      </c>
      <c r="F443" s="1310" t="e">
        <f t="array" aca="1" ref="F443" ca="1">+_xludf.IFS(E443="50% teletrabajo",0.5, E443="25% teletrabajo",0.75,E443="75% teletrabajo",0.25,E443="100% teletrabajo",0,E443="100% trabajo presencial",1)</f>
        <v>#NAME?</v>
      </c>
      <c r="G443" s="1310" t="s">
        <v>1952</v>
      </c>
      <c r="H443" s="1310" t="e">
        <f t="array" aca="1" ref="H443" ca="1">+_xludf.IFS(G443="Vehículo - Uso individual","Auto",G443="Vehículo - Uso compartido","Auto",G443="Transporte público","Bus",G443="Moto","Moto",G443="Bicicleta o caminando","Bicicleta")</f>
        <v>#NAME?</v>
      </c>
      <c r="I443" s="1310">
        <v>1</v>
      </c>
      <c r="J443" s="1310">
        <v>2.9</v>
      </c>
      <c r="K443" s="1312" t="e">
        <f t="shared" ca="1" si="14"/>
        <v>#NAME?</v>
      </c>
      <c r="L443" s="1315" t="e">
        <f ca="1">+K443*I443*VLOOKUP(H443,'Factores Emisión EDGE'!$K$267:$L$272,2,FALSE)/1000</f>
        <v>#NAME?</v>
      </c>
    </row>
    <row r="444" spans="1:12">
      <c r="A444" s="1314">
        <v>44650.737115810189</v>
      </c>
      <c r="B444" s="1310" t="s">
        <v>2785</v>
      </c>
      <c r="C444" s="1310" t="s">
        <v>2786</v>
      </c>
      <c r="D444" s="1310" t="s">
        <v>1951</v>
      </c>
      <c r="E444" s="1310" t="s">
        <v>872</v>
      </c>
      <c r="F444" s="1310" t="e">
        <f t="array" aca="1" ref="F444" ca="1">+_xludf.IFS(E444="50% teletrabajo",0.5, E444="25% teletrabajo",0.75,E444="75% teletrabajo",0.25,E444="100% teletrabajo",0,E444="100% trabajo presencial",1)</f>
        <v>#NAME?</v>
      </c>
      <c r="G444" s="1310" t="s">
        <v>1952</v>
      </c>
      <c r="H444" s="1310" t="e">
        <f t="array" aca="1" ref="H444" ca="1">+_xludf.IFS(G444="Vehículo - Uso individual","Auto",G444="Vehículo - Uso compartido","Auto",G444="Transporte público","Bus",G444="Moto","Moto",G444="Bicicleta o caminando","Bicicleta")</f>
        <v>#NAME?</v>
      </c>
      <c r="I444" s="1310">
        <v>1</v>
      </c>
      <c r="J444" s="1310">
        <v>31</v>
      </c>
      <c r="K444" s="1312" t="e">
        <f t="shared" ca="1" si="14"/>
        <v>#NAME?</v>
      </c>
      <c r="L444" s="1315" t="e">
        <f ca="1">+K444*I444*VLOOKUP(H444,'Factores Emisión EDGE'!$K$267:$L$272,2,FALSE)/1000</f>
        <v>#NAME?</v>
      </c>
    </row>
    <row r="445" spans="1:12">
      <c r="A445" s="1314">
        <v>44650.737229675928</v>
      </c>
      <c r="B445" s="1310" t="s">
        <v>2787</v>
      </c>
      <c r="C445" s="1310" t="s">
        <v>2788</v>
      </c>
      <c r="D445" s="1310" t="s">
        <v>1951</v>
      </c>
      <c r="E445" s="1310" t="s">
        <v>872</v>
      </c>
      <c r="F445" s="1310" t="e">
        <f t="array" aca="1" ref="F445" ca="1">+_xludf.IFS(E445="50% teletrabajo",0.5, E445="25% teletrabajo",0.75,E445="75% teletrabajo",0.25,E445="100% teletrabajo",0,E445="100% trabajo presencial",1)</f>
        <v>#NAME?</v>
      </c>
      <c r="G445" s="1310" t="s">
        <v>1952</v>
      </c>
      <c r="H445" s="1310" t="e">
        <f t="array" aca="1" ref="H445" ca="1">+_xludf.IFS(G445="Vehículo - Uso individual","Auto",G445="Vehículo - Uso compartido","Auto",G445="Transporte público","Bus",G445="Moto","Moto",G445="Bicicleta o caminando","Bicicleta")</f>
        <v>#NAME?</v>
      </c>
      <c r="I445" s="1310">
        <v>1</v>
      </c>
      <c r="J445" s="1310">
        <v>33</v>
      </c>
      <c r="K445" s="1312" t="e">
        <f t="shared" ca="1" si="14"/>
        <v>#NAME?</v>
      </c>
      <c r="L445" s="1315" t="e">
        <f ca="1">+K445*I445*VLOOKUP(H445,'Factores Emisión EDGE'!$K$267:$L$272,2,FALSE)/1000</f>
        <v>#NAME?</v>
      </c>
    </row>
    <row r="446" spans="1:12">
      <c r="A446" s="1314">
        <v>44650.738152280093</v>
      </c>
      <c r="B446" s="1310" t="s">
        <v>2789</v>
      </c>
      <c r="C446" s="1310" t="s">
        <v>2790</v>
      </c>
      <c r="D446" s="1310" t="s">
        <v>1951</v>
      </c>
      <c r="E446" s="1310" t="s">
        <v>868</v>
      </c>
      <c r="F446" s="1310" t="e">
        <f t="array" aca="1" ref="F446" ca="1">+_xludf.IFS(E446="50% teletrabajo",0.5, E446="25% teletrabajo",0.75,E446="75% teletrabajo",0.25,E446="100% teletrabajo",0,E446="100% trabajo presencial",1)</f>
        <v>#NAME?</v>
      </c>
      <c r="G446" s="1310" t="s">
        <v>1952</v>
      </c>
      <c r="H446" s="1310" t="e">
        <f t="array" aca="1" ref="H446" ca="1">+_xludf.IFS(G446="Vehículo - Uso individual","Auto",G446="Vehículo - Uso compartido","Auto",G446="Transporte público","Bus",G446="Moto","Moto",G446="Bicicleta o caminando","Bicicleta")</f>
        <v>#NAME?</v>
      </c>
      <c r="I446" s="1310">
        <v>1</v>
      </c>
      <c r="J446" s="1310">
        <v>4</v>
      </c>
      <c r="K446" s="1312" t="e">
        <f t="shared" ca="1" si="14"/>
        <v>#NAME?</v>
      </c>
      <c r="L446" s="1315" t="e">
        <f ca="1">+K446*I446*VLOOKUP(H446,'Factores Emisión EDGE'!$K$267:$L$272,2,FALSE)/1000</f>
        <v>#NAME?</v>
      </c>
    </row>
    <row r="447" spans="1:12">
      <c r="A447" s="1314">
        <v>44650.741004189811</v>
      </c>
      <c r="B447" s="1310" t="s">
        <v>2791</v>
      </c>
      <c r="C447" s="1310" t="s">
        <v>2792</v>
      </c>
      <c r="D447" s="1310" t="s">
        <v>1951</v>
      </c>
      <c r="E447" s="1310" t="s">
        <v>868</v>
      </c>
      <c r="F447" s="1310" t="e">
        <f t="array" aca="1" ref="F447" ca="1">+_xludf.IFS(E447="50% teletrabajo",0.5, E447="25% teletrabajo",0.75,E447="75% teletrabajo",0.25,E447="100% teletrabajo",0,E447="100% trabajo presencial",1)</f>
        <v>#NAME?</v>
      </c>
      <c r="G447" s="1310" t="s">
        <v>1952</v>
      </c>
      <c r="H447" s="1310" t="e">
        <f t="array" aca="1" ref="H447" ca="1">+_xludf.IFS(G447="Vehículo - Uso individual","Auto",G447="Vehículo - Uso compartido","Auto",G447="Transporte público","Bus",G447="Moto","Moto",G447="Bicicleta o caminando","Bicicleta")</f>
        <v>#NAME?</v>
      </c>
      <c r="I447" s="1310">
        <v>1</v>
      </c>
      <c r="J447" s="1310">
        <v>3.5</v>
      </c>
      <c r="K447" s="1312" t="e">
        <f t="shared" ca="1" si="14"/>
        <v>#NAME?</v>
      </c>
      <c r="L447" s="1315" t="e">
        <f ca="1">+K447*I447*VLOOKUP(H447,'Factores Emisión EDGE'!$K$267:$L$272,2,FALSE)/1000</f>
        <v>#NAME?</v>
      </c>
    </row>
    <row r="448" spans="1:12">
      <c r="A448" s="1314">
        <v>44650.742946805556</v>
      </c>
      <c r="B448" s="1310" t="s">
        <v>2793</v>
      </c>
      <c r="C448" s="1310" t="s">
        <v>2794</v>
      </c>
      <c r="D448" s="1310" t="s">
        <v>1951</v>
      </c>
      <c r="E448" s="1310" t="s">
        <v>1955</v>
      </c>
      <c r="F448" s="1310" t="e">
        <f t="array" aca="1" ref="F448" ca="1">+_xludf.IFS(E448="50% teletrabajo",0.5, E448="25% teletrabajo",0.75,E448="75% teletrabajo",0.25,E448="100% teletrabajo",0,E448="100% trabajo presencial",1)</f>
        <v>#NAME?</v>
      </c>
      <c r="G448" s="1310" t="s">
        <v>1952</v>
      </c>
      <c r="H448" s="1310" t="e">
        <f t="array" aca="1" ref="H448" ca="1">+_xludf.IFS(G448="Vehículo - Uso individual","Auto",G448="Vehículo - Uso compartido","Auto",G448="Transporte público","Bus",G448="Moto","Moto",G448="Bicicleta o caminando","Bicicleta")</f>
        <v>#NAME?</v>
      </c>
      <c r="I448" s="1310">
        <v>1</v>
      </c>
      <c r="J448" s="1310">
        <v>11</v>
      </c>
      <c r="K448" s="1312" t="e">
        <f t="shared" ca="1" si="14"/>
        <v>#NAME?</v>
      </c>
      <c r="L448" s="1315" t="e">
        <f ca="1">+K448*I448*VLOOKUP(H448,'Factores Emisión EDGE'!$K$267:$L$272,2,FALSE)/1000</f>
        <v>#NAME?</v>
      </c>
    </row>
    <row r="449" spans="1:12">
      <c r="A449" s="1314">
        <v>44650.74465418981</v>
      </c>
      <c r="B449" s="1310" t="s">
        <v>2795</v>
      </c>
      <c r="C449" s="1310" t="s">
        <v>2796</v>
      </c>
      <c r="D449" s="1310" t="s">
        <v>1951</v>
      </c>
      <c r="E449" s="1310" t="s">
        <v>1960</v>
      </c>
      <c r="F449" s="1310" t="e">
        <f t="array" aca="1" ref="F449" ca="1">+_xludf.IFS(E449="50% teletrabajo",0.5, E449="25% teletrabajo",0.75,E449="75% teletrabajo",0.25,E449="100% teletrabajo",0,E449="100% trabajo presencial",1)</f>
        <v>#NAME?</v>
      </c>
      <c r="G449" s="1310" t="s">
        <v>2356</v>
      </c>
      <c r="H449" s="1310" t="e">
        <f t="array" aca="1" ref="H449" ca="1">+_xludf.IFS(G449="Vehículo - Uso individual","Auto",G449="Vehículo - Uso compartido","Auto",G449="Transporte público","Bus",G449="Moto","Moto",G449="Bicicleta o caminando","Bicicleta")</f>
        <v>#NAME?</v>
      </c>
      <c r="I449" s="1310">
        <v>1</v>
      </c>
      <c r="J449" s="1312"/>
      <c r="K449" s="1312" t="e">
        <f t="shared" ca="1" si="14"/>
        <v>#NAME?</v>
      </c>
      <c r="L449" s="1315"/>
    </row>
    <row r="450" spans="1:12">
      <c r="A450" s="1314">
        <v>44650.769948113426</v>
      </c>
      <c r="B450" s="1310" t="s">
        <v>2797</v>
      </c>
      <c r="C450" s="1310" t="s">
        <v>2798</v>
      </c>
      <c r="D450" s="1310" t="s">
        <v>1951</v>
      </c>
      <c r="E450" s="1310" t="s">
        <v>868</v>
      </c>
      <c r="F450" s="1310" t="e">
        <f t="array" aca="1" ref="F450" ca="1">+_xludf.IFS(E450="50% teletrabajo",0.5, E450="25% teletrabajo",0.75,E450="75% teletrabajo",0.25,E450="100% teletrabajo",0,E450="100% trabajo presencial",1)</f>
        <v>#NAME?</v>
      </c>
      <c r="G450" s="1310" t="s">
        <v>1995</v>
      </c>
      <c r="H450" s="1310" t="e">
        <f t="array" aca="1" ref="H450" ca="1">+_xludf.IFS(G450="Vehículo - Uso individual","Auto",G450="Vehículo - Uso compartido","Auto",G450="Transporte público","Bus",G450="Moto","Moto",G450="Bicicleta o caminando","Bicicleta")</f>
        <v>#NAME?</v>
      </c>
      <c r="I450" s="1310">
        <v>0.25</v>
      </c>
      <c r="J450" s="1310">
        <v>4</v>
      </c>
      <c r="K450" s="1312" t="e">
        <f t="shared" ca="1" si="14"/>
        <v>#NAME?</v>
      </c>
      <c r="L450" s="1315" t="e">
        <f ca="1">+K450*I450*VLOOKUP(H450,'Factores Emisión EDGE'!$K$267:$L$272,2,FALSE)/1000</f>
        <v>#NAME?</v>
      </c>
    </row>
    <row r="451" spans="1:12">
      <c r="A451" s="1314">
        <v>44650.771336759259</v>
      </c>
      <c r="B451" s="1310" t="s">
        <v>2799</v>
      </c>
      <c r="C451" s="1310" t="s">
        <v>2800</v>
      </c>
      <c r="D451" s="1310" t="s">
        <v>1951</v>
      </c>
      <c r="E451" s="1310" t="s">
        <v>868</v>
      </c>
      <c r="F451" s="1310" t="e">
        <f t="array" aca="1" ref="F451" ca="1">+_xludf.IFS(E451="50% teletrabajo",0.5, E451="25% teletrabajo",0.75,E451="75% teletrabajo",0.25,E451="100% teletrabajo",0,E451="100% trabajo presencial",1)</f>
        <v>#NAME?</v>
      </c>
      <c r="G451" s="1310" t="s">
        <v>1952</v>
      </c>
      <c r="H451" s="1310" t="e">
        <f t="array" aca="1" ref="H451" ca="1">+_xludf.IFS(G451="Vehículo - Uso individual","Auto",G451="Vehículo - Uso compartido","Auto",G451="Transporte público","Bus",G451="Moto","Moto",G451="Bicicleta o caminando","Bicicleta")</f>
        <v>#NAME?</v>
      </c>
      <c r="I451" s="1310">
        <v>1</v>
      </c>
      <c r="J451" s="1310">
        <v>7</v>
      </c>
      <c r="K451" s="1312" t="e">
        <f t="shared" ca="1" si="14"/>
        <v>#NAME?</v>
      </c>
      <c r="L451" s="1315" t="e">
        <f ca="1">+K451*I451*VLOOKUP(H451,'Factores Emisión EDGE'!$K$267:$L$272,2,FALSE)/1000</f>
        <v>#NAME?</v>
      </c>
    </row>
    <row r="452" spans="1:12">
      <c r="A452" s="1314">
        <v>44650.813634918981</v>
      </c>
      <c r="B452" s="1310" t="s">
        <v>2801</v>
      </c>
      <c r="C452" s="1310" t="s">
        <v>2802</v>
      </c>
      <c r="D452" s="1310" t="s">
        <v>1951</v>
      </c>
      <c r="E452" s="1310" t="s">
        <v>872</v>
      </c>
      <c r="F452" s="1310" t="e">
        <f t="array" aca="1" ref="F452" ca="1">+_xludf.IFS(E452="50% teletrabajo",0.5, E452="25% teletrabajo",0.75,E452="75% teletrabajo",0.25,E452="100% teletrabajo",0,E452="100% trabajo presencial",1)</f>
        <v>#NAME?</v>
      </c>
      <c r="G452" s="1310" t="s">
        <v>863</v>
      </c>
      <c r="H452" s="1310" t="e">
        <f t="array" aca="1" ref="H452" ca="1">+_xludf.IFS(G452="Vehículo - Uso individual","Auto",G452="Vehículo - Uso compartido","Auto",G452="Transporte público","Bus",G452="Moto","Moto",G452="Bicicleta o caminando","Bicicleta")</f>
        <v>#NAME?</v>
      </c>
      <c r="I452" s="1310">
        <v>1</v>
      </c>
      <c r="J452" s="1310">
        <v>70</v>
      </c>
      <c r="K452" s="1312" t="e">
        <f t="shared" ca="1" si="14"/>
        <v>#NAME?</v>
      </c>
      <c r="L452" s="1315" t="e">
        <f ca="1">+K452*I452*VLOOKUP(H452,'Factores Emisión EDGE'!$K$267:$L$272,2,FALSE)/1000</f>
        <v>#NAME?</v>
      </c>
    </row>
    <row r="453" spans="1:12">
      <c r="A453" s="1314">
        <v>44650.836048043981</v>
      </c>
      <c r="B453" s="1310" t="s">
        <v>2803</v>
      </c>
      <c r="C453" s="1310" t="s">
        <v>2804</v>
      </c>
      <c r="D453" s="1310" t="s">
        <v>1951</v>
      </c>
      <c r="E453" s="1310" t="s">
        <v>1960</v>
      </c>
      <c r="F453" s="1310" t="e">
        <f t="array" aca="1" ref="F453" ca="1">+_xludf.IFS(E453="50% teletrabajo",0.5, E453="25% teletrabajo",0.75,E453="75% teletrabajo",0.25,E453="100% teletrabajo",0,E453="100% trabajo presencial",1)</f>
        <v>#NAME?</v>
      </c>
      <c r="G453" s="1310" t="s">
        <v>1952</v>
      </c>
      <c r="H453" s="1310" t="e">
        <f t="array" aca="1" ref="H453" ca="1">+_xludf.IFS(G453="Vehículo - Uso individual","Auto",G453="Vehículo - Uso compartido","Auto",G453="Transporte público","Bus",G453="Moto","Moto",G453="Bicicleta o caminando","Bicicleta")</f>
        <v>#NAME?</v>
      </c>
      <c r="I453" s="1310">
        <v>1</v>
      </c>
      <c r="J453" s="1310">
        <v>5</v>
      </c>
      <c r="K453" s="1312" t="e">
        <f t="shared" ca="1" si="14"/>
        <v>#NAME?</v>
      </c>
      <c r="L453" s="1315" t="e">
        <f ca="1">+K453*I453*VLOOKUP(H453,'Factores Emisión EDGE'!$K$267:$L$272,2,FALSE)/1000</f>
        <v>#NAME?</v>
      </c>
    </row>
    <row r="454" spans="1:12">
      <c r="A454" s="1314">
        <v>44650.84677290509</v>
      </c>
      <c r="B454" s="1310" t="s">
        <v>2805</v>
      </c>
      <c r="C454" s="1310" t="s">
        <v>2806</v>
      </c>
      <c r="D454" s="1310" t="s">
        <v>1951</v>
      </c>
      <c r="E454" s="1310" t="s">
        <v>868</v>
      </c>
      <c r="F454" s="1310" t="e">
        <f t="array" aca="1" ref="F454" ca="1">+_xludf.IFS(E454="50% teletrabajo",0.5, E454="25% teletrabajo",0.75,E454="75% teletrabajo",0.25,E454="100% teletrabajo",0,E454="100% trabajo presencial",1)</f>
        <v>#NAME?</v>
      </c>
      <c r="G454" s="1310" t="s">
        <v>1952</v>
      </c>
      <c r="H454" s="1310" t="e">
        <f t="array" aca="1" ref="H454" ca="1">+_xludf.IFS(G454="Vehículo - Uso individual","Auto",G454="Vehículo - Uso compartido","Auto",G454="Transporte público","Bus",G454="Moto","Moto",G454="Bicicleta o caminando","Bicicleta")</f>
        <v>#NAME?</v>
      </c>
      <c r="I454" s="1310">
        <v>1</v>
      </c>
      <c r="J454" s="1310">
        <v>25</v>
      </c>
      <c r="K454" s="1312" t="e">
        <f t="shared" ca="1" si="14"/>
        <v>#NAME?</v>
      </c>
      <c r="L454" s="1315" t="e">
        <f ca="1">+K454*I454*VLOOKUP(H454,'Factores Emisión EDGE'!$K$267:$L$272,2,FALSE)/1000</f>
        <v>#NAME?</v>
      </c>
    </row>
    <row r="455" spans="1:12">
      <c r="A455" s="1314">
        <v>44650.946364131945</v>
      </c>
      <c r="B455" s="1310" t="s">
        <v>2807</v>
      </c>
      <c r="C455" s="1310">
        <v>179794896</v>
      </c>
      <c r="D455" s="1310" t="s">
        <v>1951</v>
      </c>
      <c r="E455" s="1310" t="s">
        <v>868</v>
      </c>
      <c r="F455" s="1310" t="e">
        <f t="array" aca="1" ref="F455" ca="1">+_xludf.IFS(E455="50% teletrabajo",0.5, E455="25% teletrabajo",0.75,E455="75% teletrabajo",0.25,E455="100% teletrabajo",0,E455="100% trabajo presencial",1)</f>
        <v>#NAME?</v>
      </c>
      <c r="G455" s="1310" t="s">
        <v>863</v>
      </c>
      <c r="H455" s="1310" t="e">
        <f t="array" aca="1" ref="H455" ca="1">+_xludf.IFS(G455="Vehículo - Uso individual","Auto",G455="Vehículo - Uso compartido","Auto",G455="Transporte público","Bus",G455="Moto","Moto",G455="Bicicleta o caminando","Bicicleta")</f>
        <v>#NAME?</v>
      </c>
      <c r="I455" s="1310">
        <v>1</v>
      </c>
      <c r="J455" s="1310">
        <v>24</v>
      </c>
      <c r="K455" s="1312" t="e">
        <f t="shared" ca="1" si="14"/>
        <v>#NAME?</v>
      </c>
      <c r="L455" s="1315" t="e">
        <f ca="1">+K455*I455*VLOOKUP(H455,'Factores Emisión EDGE'!$K$267:$L$272,2,FALSE)/1000</f>
        <v>#NAME?</v>
      </c>
    </row>
    <row r="456" spans="1:12">
      <c r="A456" s="1314">
        <v>44650.947062071762</v>
      </c>
      <c r="B456" s="1310" t="s">
        <v>2808</v>
      </c>
      <c r="C456" s="1310" t="s">
        <v>2809</v>
      </c>
      <c r="D456" s="1310" t="s">
        <v>1951</v>
      </c>
      <c r="E456" s="1310" t="s">
        <v>868</v>
      </c>
      <c r="F456" s="1310" t="e">
        <f t="array" aca="1" ref="F456" ca="1">+_xludf.IFS(E456="50% teletrabajo",0.5, E456="25% teletrabajo",0.75,E456="75% teletrabajo",0.25,E456="100% teletrabajo",0,E456="100% trabajo presencial",1)</f>
        <v>#NAME?</v>
      </c>
      <c r="G456" s="1310" t="s">
        <v>1964</v>
      </c>
      <c r="H456" s="1310" t="e">
        <f t="array" aca="1" ref="H456" ca="1">+_xludf.IFS(G456="Vehículo - Uso individual","Auto",G456="Vehículo - Uso compartido","Auto",G456="Transporte público","Bus",G456="Moto","Moto",G456="Bicicleta o caminando","Bicicleta")</f>
        <v>#NAME?</v>
      </c>
      <c r="I456" s="1310">
        <v>1</v>
      </c>
      <c r="J456" s="1310">
        <v>11</v>
      </c>
      <c r="K456" s="1312" t="e">
        <f t="shared" ca="1" si="14"/>
        <v>#NAME?</v>
      </c>
      <c r="L456" s="1315" t="e">
        <f ca="1">+K456*I456*VLOOKUP(H456,'Factores Emisión EDGE'!$K$267:$L$272,2,FALSE)/1000</f>
        <v>#NAME?</v>
      </c>
    </row>
    <row r="457" spans="1:12">
      <c r="A457" s="1314">
        <v>44650.947234722218</v>
      </c>
      <c r="B457" s="1310" t="s">
        <v>2810</v>
      </c>
      <c r="C457" s="1310" t="s">
        <v>2811</v>
      </c>
      <c r="D457" s="1310" t="s">
        <v>1951</v>
      </c>
      <c r="E457" s="1310" t="s">
        <v>868</v>
      </c>
      <c r="F457" s="1310" t="e">
        <f t="array" aca="1" ref="F457" ca="1">+_xludf.IFS(E457="50% teletrabajo",0.5, E457="25% teletrabajo",0.75,E457="75% teletrabajo",0.25,E457="100% teletrabajo",0,E457="100% trabajo presencial",1)</f>
        <v>#NAME?</v>
      </c>
      <c r="G457" s="1310" t="s">
        <v>1952</v>
      </c>
      <c r="H457" s="1310" t="e">
        <f t="array" aca="1" ref="H457" ca="1">+_xludf.IFS(G457="Vehículo - Uso individual","Auto",G457="Vehículo - Uso compartido","Auto",G457="Transporte público","Bus",G457="Moto","Moto",G457="Bicicleta o caminando","Bicicleta")</f>
        <v>#NAME?</v>
      </c>
      <c r="I457" s="1310">
        <v>1</v>
      </c>
      <c r="J457" s="1310">
        <v>4.5</v>
      </c>
      <c r="K457" s="1312" t="e">
        <f t="shared" ca="1" si="14"/>
        <v>#NAME?</v>
      </c>
      <c r="L457" s="1315" t="e">
        <f ca="1">+K457*I457*VLOOKUP(H457,'Factores Emisión EDGE'!$K$267:$L$272,2,FALSE)/1000</f>
        <v>#NAME?</v>
      </c>
    </row>
    <row r="458" spans="1:12">
      <c r="A458" s="1314">
        <v>44650.95202783565</v>
      </c>
      <c r="B458" s="1310" t="s">
        <v>2812</v>
      </c>
      <c r="C458" s="1310" t="s">
        <v>2813</v>
      </c>
      <c r="D458" s="1310" t="s">
        <v>1951</v>
      </c>
      <c r="E458" s="1310" t="s">
        <v>868</v>
      </c>
      <c r="F458" s="1310" t="e">
        <f t="array" aca="1" ref="F458" ca="1">+_xludf.IFS(E458="50% teletrabajo",0.5, E458="25% teletrabajo",0.75,E458="75% teletrabajo",0.25,E458="100% teletrabajo",0,E458="100% trabajo presencial",1)</f>
        <v>#NAME?</v>
      </c>
      <c r="G458" s="1310" t="s">
        <v>1952</v>
      </c>
      <c r="H458" s="1310" t="e">
        <f t="array" aca="1" ref="H458" ca="1">+_xludf.IFS(G458="Vehículo - Uso individual","Auto",G458="Vehículo - Uso compartido","Auto",G458="Transporte público","Bus",G458="Moto","Moto",G458="Bicicleta o caminando","Bicicleta")</f>
        <v>#NAME?</v>
      </c>
      <c r="I458" s="1310">
        <v>1</v>
      </c>
      <c r="J458" s="1310">
        <v>7</v>
      </c>
      <c r="K458" s="1312" t="e">
        <f t="shared" ca="1" si="14"/>
        <v>#NAME?</v>
      </c>
      <c r="L458" s="1315" t="e">
        <f ca="1">+K458*I458*VLOOKUP(H458,'Factores Emisión EDGE'!$K$267:$L$272,2,FALSE)/1000</f>
        <v>#NAME?</v>
      </c>
    </row>
    <row r="459" spans="1:12">
      <c r="A459" s="1314">
        <v>44650.961399548614</v>
      </c>
      <c r="B459" s="1310" t="s">
        <v>2814</v>
      </c>
      <c r="C459" s="1310" t="s">
        <v>2815</v>
      </c>
      <c r="D459" s="1310" t="s">
        <v>1951</v>
      </c>
      <c r="E459" s="1310" t="s">
        <v>868</v>
      </c>
      <c r="F459" s="1310" t="e">
        <f t="array" aca="1" ref="F459" ca="1">+_xludf.IFS(E459="50% teletrabajo",0.5, E459="25% teletrabajo",0.75,E459="75% teletrabajo",0.25,E459="100% teletrabajo",0,E459="100% trabajo presencial",1)</f>
        <v>#NAME?</v>
      </c>
      <c r="G459" s="1310" t="s">
        <v>1964</v>
      </c>
      <c r="H459" s="1310" t="e">
        <f t="array" aca="1" ref="H459" ca="1">+_xludf.IFS(G459="Vehículo - Uso individual","Auto",G459="Vehículo - Uso compartido","Auto",G459="Transporte público","Bus",G459="Moto","Moto",G459="Bicicleta o caminando","Bicicleta")</f>
        <v>#NAME?</v>
      </c>
      <c r="I459" s="1310">
        <v>1</v>
      </c>
      <c r="J459" s="1310">
        <v>7.1</v>
      </c>
      <c r="K459" s="1312" t="e">
        <f t="shared" ca="1" si="14"/>
        <v>#NAME?</v>
      </c>
      <c r="L459" s="1315" t="e">
        <f ca="1">+K459*I459*VLOOKUP(H459,'Factores Emisión EDGE'!$K$267:$L$272,2,FALSE)/1000</f>
        <v>#NAME?</v>
      </c>
    </row>
    <row r="460" spans="1:12">
      <c r="A460" s="1314">
        <v>44651.025008298609</v>
      </c>
      <c r="B460" s="1310" t="s">
        <v>2816</v>
      </c>
      <c r="C460" s="1310" t="s">
        <v>2817</v>
      </c>
      <c r="D460" s="1310" t="s">
        <v>1951</v>
      </c>
      <c r="E460" s="1310" t="s">
        <v>868</v>
      </c>
      <c r="F460" s="1310" t="e">
        <f t="array" aca="1" ref="F460" ca="1">+_xludf.IFS(E460="50% teletrabajo",0.5, E460="25% teletrabajo",0.75,E460="75% teletrabajo",0.25,E460="100% teletrabajo",0,E460="100% trabajo presencial",1)</f>
        <v>#NAME?</v>
      </c>
      <c r="G460" s="1310" t="s">
        <v>1952</v>
      </c>
      <c r="H460" s="1310" t="e">
        <f t="array" aca="1" ref="H460" ca="1">+_xludf.IFS(G460="Vehículo - Uso individual","Auto",G460="Vehículo - Uso compartido","Auto",G460="Transporte público","Bus",G460="Moto","Moto",G460="Bicicleta o caminando","Bicicleta")</f>
        <v>#NAME?</v>
      </c>
      <c r="I460" s="1310">
        <v>1</v>
      </c>
      <c r="J460" s="1310">
        <v>25</v>
      </c>
      <c r="K460" s="1312" t="e">
        <f t="shared" ca="1" si="14"/>
        <v>#NAME?</v>
      </c>
      <c r="L460" s="1315" t="e">
        <f ca="1">+K460*I460*VLOOKUP(H460,'Factores Emisión EDGE'!$K$267:$L$272,2,FALSE)/1000</f>
        <v>#NAME?</v>
      </c>
    </row>
    <row r="461" spans="1:12">
      <c r="A461" s="1314">
        <v>44651.044634155092</v>
      </c>
      <c r="B461" s="1310" t="s">
        <v>2818</v>
      </c>
      <c r="C461" s="1310" t="s">
        <v>2470</v>
      </c>
      <c r="D461" s="1310" t="s">
        <v>1951</v>
      </c>
      <c r="E461" s="1310" t="s">
        <v>868</v>
      </c>
      <c r="F461" s="1310" t="e">
        <f t="array" aca="1" ref="F461" ca="1">+_xludf.IFS(E461="50% teletrabajo",0.5, E461="25% teletrabajo",0.75,E461="75% teletrabajo",0.25,E461="100% teletrabajo",0,E461="100% trabajo presencial",1)</f>
        <v>#NAME?</v>
      </c>
      <c r="G461" s="1310" t="s">
        <v>1964</v>
      </c>
      <c r="H461" s="1310" t="e">
        <f t="array" aca="1" ref="H461" ca="1">+_xludf.IFS(G461="Vehículo - Uso individual","Auto",G461="Vehículo - Uso compartido","Auto",G461="Transporte público","Bus",G461="Moto","Moto",G461="Bicicleta o caminando","Bicicleta")</f>
        <v>#NAME?</v>
      </c>
      <c r="I461" s="1310">
        <v>1</v>
      </c>
      <c r="J461" s="1312"/>
      <c r="K461" s="1312" t="e">
        <f t="shared" ca="1" si="14"/>
        <v>#NAME?</v>
      </c>
      <c r="L461" s="1315" t="e">
        <f ca="1">+K461*I461*VLOOKUP(H461,'Factores Emisión EDGE'!$K$267:$L$272,2,FALSE)/1000</f>
        <v>#NAME?</v>
      </c>
    </row>
    <row r="462" spans="1:12">
      <c r="A462" s="1314">
        <v>44651.055049490737</v>
      </c>
      <c r="B462" s="1310" t="s">
        <v>2819</v>
      </c>
      <c r="C462" s="1310" t="s">
        <v>2820</v>
      </c>
      <c r="D462" s="1310" t="s">
        <v>1951</v>
      </c>
      <c r="E462" s="1310" t="s">
        <v>868</v>
      </c>
      <c r="F462" s="1310" t="e">
        <f t="array" aca="1" ref="F462" ca="1">+_xludf.IFS(E462="50% teletrabajo",0.5, E462="25% teletrabajo",0.75,E462="75% teletrabajo",0.25,E462="100% teletrabajo",0,E462="100% trabajo presencial",1)</f>
        <v>#NAME?</v>
      </c>
      <c r="G462" s="1310" t="s">
        <v>1964</v>
      </c>
      <c r="H462" s="1310" t="e">
        <f t="array" aca="1" ref="H462" ca="1">+_xludf.IFS(G462="Vehículo - Uso individual","Auto",G462="Vehículo - Uso compartido","Auto",G462="Transporte público","Bus",G462="Moto","Moto",G462="Bicicleta o caminando","Bicicleta")</f>
        <v>#NAME?</v>
      </c>
      <c r="I462" s="1310">
        <v>1</v>
      </c>
      <c r="J462" s="1310">
        <v>15</v>
      </c>
      <c r="K462" s="1312" t="e">
        <f t="shared" ca="1" si="14"/>
        <v>#NAME?</v>
      </c>
      <c r="L462" s="1315" t="e">
        <f ca="1">+K462*I462*VLOOKUP(H462,'Factores Emisión EDGE'!$K$267:$L$272,2,FALSE)/1000</f>
        <v>#NAME?</v>
      </c>
    </row>
    <row r="463" spans="1:12">
      <c r="A463" s="1314">
        <v>44651.271298171298</v>
      </c>
      <c r="B463" s="1310" t="s">
        <v>2821</v>
      </c>
      <c r="C463" s="1310" t="s">
        <v>2822</v>
      </c>
      <c r="D463" s="1310" t="s">
        <v>1951</v>
      </c>
      <c r="E463" s="1310" t="s">
        <v>868</v>
      </c>
      <c r="F463" s="1310" t="e">
        <f t="array" aca="1" ref="F463" ca="1">+_xludf.IFS(E463="50% teletrabajo",0.5, E463="25% teletrabajo",0.75,E463="75% teletrabajo",0.25,E463="100% teletrabajo",0,E463="100% trabajo presencial",1)</f>
        <v>#NAME?</v>
      </c>
      <c r="G463" s="1310" t="s">
        <v>1952</v>
      </c>
      <c r="H463" s="1310" t="e">
        <f t="array" aca="1" ref="H463" ca="1">+_xludf.IFS(G463="Vehículo - Uso individual","Auto",G463="Vehículo - Uso compartido","Auto",G463="Transporte público","Bus",G463="Moto","Moto",G463="Bicicleta o caminando","Bicicleta")</f>
        <v>#NAME?</v>
      </c>
      <c r="I463" s="1310">
        <v>1</v>
      </c>
      <c r="J463" s="1310">
        <v>10</v>
      </c>
      <c r="K463" s="1312" t="e">
        <f t="shared" ca="1" si="14"/>
        <v>#NAME?</v>
      </c>
      <c r="L463" s="1315" t="e">
        <f ca="1">+K463*I463*VLOOKUP(H463,'Factores Emisión EDGE'!$K$267:$L$272,2,FALSE)/1000</f>
        <v>#NAME?</v>
      </c>
    </row>
    <row r="464" spans="1:12">
      <c r="A464" s="1314">
        <v>44651.333135451394</v>
      </c>
      <c r="B464" s="1310" t="s">
        <v>2823</v>
      </c>
      <c r="C464" s="1310" t="s">
        <v>2824</v>
      </c>
      <c r="D464" s="1310" t="s">
        <v>1951</v>
      </c>
      <c r="E464" s="1310" t="s">
        <v>868</v>
      </c>
      <c r="F464" s="1310" t="e">
        <f t="array" aca="1" ref="F464" ca="1">+_xludf.IFS(E464="50% teletrabajo",0.5, E464="25% teletrabajo",0.75,E464="75% teletrabajo",0.25,E464="100% teletrabajo",0,E464="100% trabajo presencial",1)</f>
        <v>#NAME?</v>
      </c>
      <c r="G464" s="1310" t="s">
        <v>1952</v>
      </c>
      <c r="H464" s="1310" t="e">
        <f t="array" aca="1" ref="H464" ca="1">+_xludf.IFS(G464="Vehículo - Uso individual","Auto",G464="Vehículo - Uso compartido","Auto",G464="Transporte público","Bus",G464="Moto","Moto",G464="Bicicleta o caminando","Bicicleta")</f>
        <v>#NAME?</v>
      </c>
      <c r="I464" s="1310">
        <v>1</v>
      </c>
      <c r="J464" s="1310">
        <v>11</v>
      </c>
      <c r="K464" s="1312" t="e">
        <f t="shared" ca="1" si="14"/>
        <v>#NAME?</v>
      </c>
      <c r="L464" s="1315" t="e">
        <f ca="1">+K464*I464*VLOOKUP(H464,'Factores Emisión EDGE'!$K$267:$L$272,2,FALSE)/1000</f>
        <v>#NAME?</v>
      </c>
    </row>
    <row r="465" spans="1:12">
      <c r="A465" s="1314">
        <v>44651.352458831017</v>
      </c>
      <c r="B465" s="1310" t="s">
        <v>2142</v>
      </c>
      <c r="C465" s="1310" t="s">
        <v>2143</v>
      </c>
      <c r="D465" s="1310" t="s">
        <v>1951</v>
      </c>
      <c r="E465" s="1310" t="s">
        <v>872</v>
      </c>
      <c r="F465" s="1310" t="e">
        <f t="array" aca="1" ref="F465" ca="1">+_xludf.IFS(E465="50% teletrabajo",0.5, E465="25% teletrabajo",0.75,E465="75% teletrabajo",0.25,E465="100% teletrabajo",0,E465="100% trabajo presencial",1)</f>
        <v>#NAME?</v>
      </c>
      <c r="G465" s="1310" t="s">
        <v>1995</v>
      </c>
      <c r="H465" s="1310" t="e">
        <f t="array" aca="1" ref="H465" ca="1">+_xludf.IFS(G465="Vehículo - Uso individual","Auto",G465="Vehículo - Uso compartido","Auto",G465="Transporte público","Bus",G465="Moto","Moto",G465="Bicicleta o caminando","Bicicleta")</f>
        <v>#NAME?</v>
      </c>
      <c r="I465" s="1312">
        <v>0.25</v>
      </c>
      <c r="J465" s="1310">
        <v>7.4</v>
      </c>
      <c r="K465" s="1312" t="e">
        <f t="shared" ca="1" si="14"/>
        <v>#NAME?</v>
      </c>
      <c r="L465" s="1315" t="e">
        <f ca="1">+K465*I465*VLOOKUP(H465,'Factores Emisión EDGE'!$K$267:$L$272,2,FALSE)/1000</f>
        <v>#NAME?</v>
      </c>
    </row>
    <row r="466" spans="1:12">
      <c r="A466" s="1314">
        <v>44651.362452731482</v>
      </c>
      <c r="B466" s="1310" t="s">
        <v>2825</v>
      </c>
      <c r="C466" s="1310" t="s">
        <v>2826</v>
      </c>
      <c r="D466" s="1310" t="s">
        <v>1951</v>
      </c>
      <c r="E466" s="1310" t="s">
        <v>1960</v>
      </c>
      <c r="F466" s="1310" t="e">
        <f t="array" aca="1" ref="F466" ca="1">+_xludf.IFS(E466="50% teletrabajo",0.5, E466="25% teletrabajo",0.75,E466="75% teletrabajo",0.25,E466="100% teletrabajo",0,E466="100% trabajo presencial",1)</f>
        <v>#NAME?</v>
      </c>
      <c r="G466" s="1310" t="s">
        <v>1952</v>
      </c>
      <c r="H466" s="1310" t="e">
        <f t="array" aca="1" ref="H466" ca="1">+_xludf.IFS(G466="Vehículo - Uso individual","Auto",G466="Vehículo - Uso compartido","Auto",G466="Transporte público","Bus",G466="Moto","Moto",G466="Bicicleta o caminando","Bicicleta")</f>
        <v>#NAME?</v>
      </c>
      <c r="I466" s="1310">
        <v>1</v>
      </c>
      <c r="J466" s="1310">
        <v>80</v>
      </c>
      <c r="K466" s="1312" t="e">
        <f t="shared" ca="1" si="14"/>
        <v>#NAME?</v>
      </c>
      <c r="L466" s="1315" t="e">
        <f ca="1">+K466*I466*VLOOKUP(H466,'Factores Emisión EDGE'!$K$267:$L$272,2,FALSE)/1000</f>
        <v>#NAME?</v>
      </c>
    </row>
    <row r="467" spans="1:12">
      <c r="A467" s="1314">
        <v>44651.373580625004</v>
      </c>
      <c r="B467" s="1310" t="s">
        <v>2827</v>
      </c>
      <c r="C467" s="1310" t="s">
        <v>2828</v>
      </c>
      <c r="D467" s="1310" t="s">
        <v>1951</v>
      </c>
      <c r="E467" s="1310" t="s">
        <v>868</v>
      </c>
      <c r="F467" s="1310" t="e">
        <f t="array" aca="1" ref="F467" ca="1">+_xludf.IFS(E467="50% teletrabajo",0.5, E467="25% teletrabajo",0.75,E467="75% teletrabajo",0.25,E467="100% teletrabajo",0,E467="100% trabajo presencial",1)</f>
        <v>#NAME?</v>
      </c>
      <c r="G467" s="1310" t="s">
        <v>1964</v>
      </c>
      <c r="H467" s="1310" t="e">
        <f t="array" aca="1" ref="H467" ca="1">+_xludf.IFS(G467="Vehículo - Uso individual","Auto",G467="Vehículo - Uso compartido","Auto",G467="Transporte público","Bus",G467="Moto","Moto",G467="Bicicleta o caminando","Bicicleta")</f>
        <v>#NAME?</v>
      </c>
      <c r="I467" s="1310">
        <v>1</v>
      </c>
      <c r="J467" s="1310">
        <v>2</v>
      </c>
      <c r="K467" s="1312" t="e">
        <f t="shared" ca="1" si="14"/>
        <v>#NAME?</v>
      </c>
      <c r="L467" s="1315" t="e">
        <f ca="1">+K467*I467*VLOOKUP(H467,'Factores Emisión EDGE'!$K$267:$L$272,2,FALSE)/1000</f>
        <v>#NAME?</v>
      </c>
    </row>
    <row r="468" spans="1:12">
      <c r="A468" s="1314">
        <v>44651.374007916667</v>
      </c>
      <c r="B468" s="1310" t="s">
        <v>2829</v>
      </c>
      <c r="C468" s="1310" t="s">
        <v>2830</v>
      </c>
      <c r="D468" s="1310" t="s">
        <v>1951</v>
      </c>
      <c r="E468" s="1310" t="s">
        <v>868</v>
      </c>
      <c r="F468" s="1310" t="e">
        <f t="array" aca="1" ref="F468" ca="1">+_xludf.IFS(E468="50% teletrabajo",0.5, E468="25% teletrabajo",0.75,E468="75% teletrabajo",0.25,E468="100% teletrabajo",0,E468="100% trabajo presencial",1)</f>
        <v>#NAME?</v>
      </c>
      <c r="G468" s="1310" t="s">
        <v>1964</v>
      </c>
      <c r="H468" s="1310" t="e">
        <f t="array" aca="1" ref="H468" ca="1">+_xludf.IFS(G468="Vehículo - Uso individual","Auto",G468="Vehículo - Uso compartido","Auto",G468="Transporte público","Bus",G468="Moto","Moto",G468="Bicicleta o caminando","Bicicleta")</f>
        <v>#NAME?</v>
      </c>
      <c r="I468" s="1310">
        <v>1</v>
      </c>
      <c r="J468" s="1310">
        <v>2</v>
      </c>
      <c r="K468" s="1312" t="e">
        <f t="shared" ca="1" si="14"/>
        <v>#NAME?</v>
      </c>
      <c r="L468" s="1315" t="e">
        <f ca="1">+K468*I468*VLOOKUP(H468,'Factores Emisión EDGE'!$K$267:$L$272,2,FALSE)/1000</f>
        <v>#NAME?</v>
      </c>
    </row>
    <row r="469" spans="1:12">
      <c r="A469" s="1314">
        <v>44651.400614027778</v>
      </c>
      <c r="B469" s="1310" t="s">
        <v>2831</v>
      </c>
      <c r="C469" s="1310" t="s">
        <v>2832</v>
      </c>
      <c r="D469" s="1310" t="s">
        <v>1951</v>
      </c>
      <c r="E469" s="1310" t="s">
        <v>868</v>
      </c>
      <c r="F469" s="1310" t="e">
        <f t="array" aca="1" ref="F469" ca="1">+_xludf.IFS(E469="50% teletrabajo",0.5, E469="25% teletrabajo",0.75,E469="75% teletrabajo",0.25,E469="100% teletrabajo",0,E469="100% trabajo presencial",1)</f>
        <v>#NAME?</v>
      </c>
      <c r="G469" s="1310" t="s">
        <v>1964</v>
      </c>
      <c r="H469" s="1310" t="e">
        <f t="array" aca="1" ref="H469" ca="1">+_xludf.IFS(G469="Vehículo - Uso individual","Auto",G469="Vehículo - Uso compartido","Auto",G469="Transporte público","Bus",G469="Moto","Moto",G469="Bicicleta o caminando","Bicicleta")</f>
        <v>#NAME?</v>
      </c>
      <c r="I469" s="1310">
        <v>1</v>
      </c>
      <c r="J469" s="1310">
        <v>15</v>
      </c>
      <c r="K469" s="1312" t="e">
        <f t="shared" ca="1" si="14"/>
        <v>#NAME?</v>
      </c>
      <c r="L469" s="1315" t="e">
        <f ca="1">+K469*I469*VLOOKUP(H469,'Factores Emisión EDGE'!$K$267:$L$272,2,FALSE)/1000</f>
        <v>#NAME?</v>
      </c>
    </row>
    <row r="470" spans="1:12">
      <c r="A470" s="1314">
        <v>44651.419420474536</v>
      </c>
      <c r="B470" s="1310" t="s">
        <v>2833</v>
      </c>
      <c r="C470" s="1310" t="s">
        <v>2834</v>
      </c>
      <c r="D470" s="1310" t="s">
        <v>1951</v>
      </c>
      <c r="E470" s="1310" t="s">
        <v>868</v>
      </c>
      <c r="F470" s="1310" t="e">
        <f t="array" aca="1" ref="F470" ca="1">+_xludf.IFS(E470="50% teletrabajo",0.5, E470="25% teletrabajo",0.75,E470="75% teletrabajo",0.25,E470="100% teletrabajo",0,E470="100% trabajo presencial",1)</f>
        <v>#NAME?</v>
      </c>
      <c r="G470" s="1310" t="s">
        <v>1964</v>
      </c>
      <c r="H470" s="1310" t="e">
        <f t="array" aca="1" ref="H470" ca="1">+_xludf.IFS(G470="Vehículo - Uso individual","Auto",G470="Vehículo - Uso compartido","Auto",G470="Transporte público","Bus",G470="Moto","Moto",G470="Bicicleta o caminando","Bicicleta")</f>
        <v>#NAME?</v>
      </c>
      <c r="I470" s="1310">
        <v>1</v>
      </c>
      <c r="J470" s="1310">
        <v>4</v>
      </c>
      <c r="K470" s="1312" t="e">
        <f t="shared" ca="1" si="14"/>
        <v>#NAME?</v>
      </c>
      <c r="L470" s="1315" t="e">
        <f ca="1">+K470*I470*VLOOKUP(H470,'Factores Emisión EDGE'!$K$267:$L$272,2,FALSE)/1000</f>
        <v>#NAME?</v>
      </c>
    </row>
    <row r="471" spans="1:12">
      <c r="A471" s="1314">
        <v>44651.457056099534</v>
      </c>
      <c r="B471" s="1310" t="s">
        <v>2835</v>
      </c>
      <c r="C471" s="1310" t="s">
        <v>2836</v>
      </c>
      <c r="D471" s="1310" t="s">
        <v>1951</v>
      </c>
      <c r="E471" s="1310" t="s">
        <v>1965</v>
      </c>
      <c r="F471" s="1310" t="e">
        <f t="array" aca="1" ref="F471" ca="1">+_xludf.IFS(E471="50% teletrabajo",0.5, E471="25% teletrabajo",0.75,E471="75% teletrabajo",0.25,E471="100% teletrabajo",0,E471="100% trabajo presencial",1)</f>
        <v>#NAME?</v>
      </c>
      <c r="G471" s="1310" t="s">
        <v>1952</v>
      </c>
      <c r="H471" s="1310" t="e">
        <f t="array" aca="1" ref="H471" ca="1">+_xludf.IFS(G471="Vehículo - Uso individual","Auto",G471="Vehículo - Uso compartido","Auto",G471="Transporte público","Bus",G471="Moto","Moto",G471="Bicicleta o caminando","Bicicleta")</f>
        <v>#NAME?</v>
      </c>
      <c r="I471" s="1310">
        <v>1</v>
      </c>
      <c r="J471" s="1310">
        <v>8.3000000000000007</v>
      </c>
      <c r="K471" s="1312" t="e">
        <f t="shared" ca="1" si="14"/>
        <v>#NAME?</v>
      </c>
      <c r="L471" s="1315" t="e">
        <f ca="1">+K471*I471*VLOOKUP(H471,'Factores Emisión EDGE'!$K$267:$L$272,2,FALSE)/1000</f>
        <v>#NAME?</v>
      </c>
    </row>
    <row r="472" spans="1:12">
      <c r="A472" s="1314">
        <v>44651.479697870367</v>
      </c>
      <c r="B472" s="1310" t="s">
        <v>2837</v>
      </c>
      <c r="C472" s="1310">
        <v>98712534</v>
      </c>
      <c r="D472" s="1310" t="s">
        <v>2066</v>
      </c>
      <c r="E472" s="1310" t="s">
        <v>868</v>
      </c>
      <c r="F472" s="1310" t="e">
        <f t="array" aca="1" ref="F472" ca="1">+_xludf.IFS(E472="50% teletrabajo",0.5, E472="25% teletrabajo",0.75,E472="75% teletrabajo",0.25,E472="100% teletrabajo",0,E472="100% trabajo presencial",1)</f>
        <v>#NAME?</v>
      </c>
      <c r="G472" s="1310" t="s">
        <v>1952</v>
      </c>
      <c r="H472" s="1310" t="e">
        <f t="array" aca="1" ref="H472" ca="1">+_xludf.IFS(G472="Vehículo - Uso individual","Auto",G472="Vehículo - Uso compartido","Auto",G472="Transporte público","Bus",G472="Moto","Moto",G472="Bicicleta o caminando","Bicicleta")</f>
        <v>#NAME?</v>
      </c>
      <c r="I472" s="1310">
        <v>1</v>
      </c>
      <c r="J472" s="1310">
        <v>5</v>
      </c>
      <c r="K472" s="1312" t="e">
        <f t="shared" ca="1" si="14"/>
        <v>#NAME?</v>
      </c>
      <c r="L472" s="1315" t="e">
        <f ca="1">+K472*I472*VLOOKUP(H472,'Factores Emisión EDGE'!$K$267:$L$272,2,FALSE)/1000</f>
        <v>#NAME?</v>
      </c>
    </row>
    <row r="473" spans="1:12">
      <c r="A473" s="1314">
        <v>44651.480069502315</v>
      </c>
      <c r="B473" s="1310" t="s">
        <v>2838</v>
      </c>
      <c r="C473" s="1310" t="s">
        <v>2839</v>
      </c>
      <c r="D473" s="1310" t="s">
        <v>2066</v>
      </c>
      <c r="E473" s="1310" t="s">
        <v>868</v>
      </c>
      <c r="F473" s="1310" t="e">
        <f t="array" aca="1" ref="F473" ca="1">+_xludf.IFS(E473="50% teletrabajo",0.5, E473="25% teletrabajo",0.75,E473="75% teletrabajo",0.25,E473="100% teletrabajo",0,E473="100% trabajo presencial",1)</f>
        <v>#NAME?</v>
      </c>
      <c r="G473" s="1310" t="s">
        <v>1995</v>
      </c>
      <c r="H473" s="1310" t="e">
        <f t="array" aca="1" ref="H473" ca="1">+_xludf.IFS(G473="Vehículo - Uso individual","Auto",G473="Vehículo - Uso compartido","Auto",G473="Transporte público","Bus",G473="Moto","Moto",G473="Bicicleta o caminando","Bicicleta")</f>
        <v>#NAME?</v>
      </c>
      <c r="I473" s="1312">
        <v>0.25</v>
      </c>
      <c r="J473" s="1310">
        <v>15</v>
      </c>
      <c r="K473" s="1312" t="e">
        <f t="shared" ca="1" si="14"/>
        <v>#NAME?</v>
      </c>
      <c r="L473" s="1315" t="e">
        <f ca="1">+K473*I473*VLOOKUP(H473,'Factores Emisión EDGE'!$K$267:$L$272,2,FALSE)/1000</f>
        <v>#NAME?</v>
      </c>
    </row>
    <row r="474" spans="1:12">
      <c r="A474" s="1314">
        <v>44651.48012054398</v>
      </c>
      <c r="B474" s="1310" t="s">
        <v>2840</v>
      </c>
      <c r="C474" s="1310" t="s">
        <v>2841</v>
      </c>
      <c r="D474" s="1310" t="s">
        <v>2066</v>
      </c>
      <c r="E474" s="1310" t="s">
        <v>868</v>
      </c>
      <c r="F474" s="1310" t="e">
        <f t="array" aca="1" ref="F474" ca="1">+_xludf.IFS(E474="50% teletrabajo",0.5, E474="25% teletrabajo",0.75,E474="75% teletrabajo",0.25,E474="100% teletrabajo",0,E474="100% trabajo presencial",1)</f>
        <v>#NAME?</v>
      </c>
      <c r="G474" s="1310" t="s">
        <v>1995</v>
      </c>
      <c r="H474" s="1310" t="e">
        <f t="array" aca="1" ref="H474" ca="1">+_xludf.IFS(G474="Vehículo - Uso individual","Auto",G474="Vehículo - Uso compartido","Auto",G474="Transporte público","Bus",G474="Moto","Moto",G474="Bicicleta o caminando","Bicicleta")</f>
        <v>#NAME?</v>
      </c>
      <c r="I474" s="1312">
        <v>0.25</v>
      </c>
      <c r="J474" s="1310">
        <v>6</v>
      </c>
      <c r="K474" s="1312" t="e">
        <f t="shared" ca="1" si="14"/>
        <v>#NAME?</v>
      </c>
      <c r="L474" s="1315" t="e">
        <f ca="1">+K474*I474*VLOOKUP(H474,'Factores Emisión EDGE'!$K$267:$L$272,2,FALSE)/1000</f>
        <v>#NAME?</v>
      </c>
    </row>
    <row r="475" spans="1:12">
      <c r="A475" s="1314">
        <v>44651.480170138893</v>
      </c>
      <c r="B475" s="1310" t="s">
        <v>2842</v>
      </c>
      <c r="C475" s="1310" t="s">
        <v>2843</v>
      </c>
      <c r="D475" s="1310" t="s">
        <v>2066</v>
      </c>
      <c r="E475" s="1310" t="s">
        <v>868</v>
      </c>
      <c r="F475" s="1310" t="e">
        <f t="array" aca="1" ref="F475" ca="1">+_xludf.IFS(E475="50% teletrabajo",0.5, E475="25% teletrabajo",0.75,E475="75% teletrabajo",0.25,E475="100% teletrabajo",0,E475="100% trabajo presencial",1)</f>
        <v>#NAME?</v>
      </c>
      <c r="G475" s="1310" t="s">
        <v>1995</v>
      </c>
      <c r="H475" s="1310" t="e">
        <f t="array" aca="1" ref="H475" ca="1">+_xludf.IFS(G475="Vehículo - Uso individual","Auto",G475="Vehículo - Uso compartido","Auto",G475="Transporte público","Bus",G475="Moto","Moto",G475="Bicicleta o caminando","Bicicleta")</f>
        <v>#NAME?</v>
      </c>
      <c r="I475" s="1312">
        <v>0.25</v>
      </c>
      <c r="J475" s="1310">
        <v>2</v>
      </c>
      <c r="K475" s="1312" t="e">
        <f t="shared" ca="1" si="14"/>
        <v>#NAME?</v>
      </c>
      <c r="L475" s="1315" t="e">
        <f ca="1">+K475*I475*VLOOKUP(H475,'Factores Emisión EDGE'!$K$267:$L$272,2,FALSE)/1000</f>
        <v>#NAME?</v>
      </c>
    </row>
    <row r="476" spans="1:12">
      <c r="A476" s="1314">
        <v>44651.480251956018</v>
      </c>
      <c r="B476" s="1310" t="s">
        <v>2844</v>
      </c>
      <c r="C476" s="1310">
        <v>271485018</v>
      </c>
      <c r="D476" s="1310" t="s">
        <v>2066</v>
      </c>
      <c r="E476" s="1310" t="s">
        <v>1955</v>
      </c>
      <c r="F476" s="1310" t="e">
        <f t="array" aca="1" ref="F476" ca="1">+_xludf.IFS(E476="50% teletrabajo",0.5, E476="25% teletrabajo",0.75,E476="75% teletrabajo",0.25,E476="100% teletrabajo",0,E476="100% trabajo presencial",1)</f>
        <v>#NAME?</v>
      </c>
      <c r="G476" s="1310" t="s">
        <v>1995</v>
      </c>
      <c r="H476" s="1310" t="e">
        <f t="array" aca="1" ref="H476" ca="1">+_xludf.IFS(G476="Vehículo - Uso individual","Auto",G476="Vehículo - Uso compartido","Auto",G476="Transporte público","Bus",G476="Moto","Moto",G476="Bicicleta o caminando","Bicicleta")</f>
        <v>#NAME?</v>
      </c>
      <c r="I476" s="1312">
        <v>0.25</v>
      </c>
      <c r="J476" s="1310">
        <v>8.6</v>
      </c>
      <c r="K476" s="1312" t="e">
        <f t="shared" ca="1" si="14"/>
        <v>#NAME?</v>
      </c>
      <c r="L476" s="1315" t="e">
        <f ca="1">+K476*I476*VLOOKUP(H476,'Factores Emisión EDGE'!$K$267:$L$272,2,FALSE)/1000</f>
        <v>#NAME?</v>
      </c>
    </row>
    <row r="477" spans="1:12">
      <c r="A477" s="1314">
        <v>44651.480787118053</v>
      </c>
      <c r="B477" s="1310" t="s">
        <v>2845</v>
      </c>
      <c r="C477" s="1310" t="s">
        <v>2846</v>
      </c>
      <c r="D477" s="1310" t="s">
        <v>1951</v>
      </c>
      <c r="E477" s="1310" t="s">
        <v>868</v>
      </c>
      <c r="F477" s="1310" t="e">
        <f t="array" aca="1" ref="F477" ca="1">+_xludf.IFS(E477="50% teletrabajo",0.5, E477="25% teletrabajo",0.75,E477="75% teletrabajo",0.25,E477="100% teletrabajo",0,E477="100% trabajo presencial",1)</f>
        <v>#NAME?</v>
      </c>
      <c r="G477" s="1310" t="s">
        <v>1952</v>
      </c>
      <c r="H477" s="1310" t="e">
        <f t="array" aca="1" ref="H477" ca="1">+_xludf.IFS(G477="Vehículo - Uso individual","Auto",G477="Vehículo - Uso compartido","Auto",G477="Transporte público","Bus",G477="Moto","Moto",G477="Bicicleta o caminando","Bicicleta")</f>
        <v>#NAME?</v>
      </c>
      <c r="I477" s="1310">
        <v>1</v>
      </c>
      <c r="J477" s="1310">
        <v>4</v>
      </c>
      <c r="K477" s="1312" t="e">
        <f t="shared" ca="1" si="14"/>
        <v>#NAME?</v>
      </c>
      <c r="L477" s="1315" t="e">
        <f ca="1">+K477*I477*VLOOKUP(H477,'Factores Emisión EDGE'!$K$267:$L$272,2,FALSE)/1000</f>
        <v>#NAME?</v>
      </c>
    </row>
    <row r="478" spans="1:12">
      <c r="A478" s="1314">
        <v>44651.481619999999</v>
      </c>
      <c r="B478" s="1310" t="s">
        <v>2847</v>
      </c>
      <c r="C478" s="1310" t="s">
        <v>2848</v>
      </c>
      <c r="D478" s="1310" t="s">
        <v>2066</v>
      </c>
      <c r="E478" s="1310" t="s">
        <v>868</v>
      </c>
      <c r="F478" s="1310" t="e">
        <f t="array" aca="1" ref="F478" ca="1">+_xludf.IFS(E478="50% teletrabajo",0.5, E478="25% teletrabajo",0.75,E478="75% teletrabajo",0.25,E478="100% teletrabajo",0,E478="100% trabajo presencial",1)</f>
        <v>#NAME?</v>
      </c>
      <c r="G478" s="1310" t="s">
        <v>1952</v>
      </c>
      <c r="H478" s="1310" t="e">
        <f t="array" aca="1" ref="H478" ca="1">+_xludf.IFS(G478="Vehículo - Uso individual","Auto",G478="Vehículo - Uso compartido","Auto",G478="Transporte público","Bus",G478="Moto","Moto",G478="Bicicleta o caminando","Bicicleta")</f>
        <v>#NAME?</v>
      </c>
      <c r="I478" s="1310">
        <v>1</v>
      </c>
      <c r="J478" s="1310">
        <v>15</v>
      </c>
      <c r="K478" s="1312" t="e">
        <f t="shared" ca="1" si="14"/>
        <v>#NAME?</v>
      </c>
      <c r="L478" s="1315" t="e">
        <f ca="1">+K478*I478*VLOOKUP(H478,'Factores Emisión EDGE'!$K$267:$L$272,2,FALSE)/1000</f>
        <v>#NAME?</v>
      </c>
    </row>
    <row r="479" spans="1:12">
      <c r="A479" s="1314">
        <v>44651.481931944443</v>
      </c>
      <c r="B479" s="1310" t="s">
        <v>2849</v>
      </c>
      <c r="C479" s="1310" t="s">
        <v>2850</v>
      </c>
      <c r="D479" s="1310" t="s">
        <v>2066</v>
      </c>
      <c r="E479" s="1310" t="s">
        <v>868</v>
      </c>
      <c r="F479" s="1310" t="e">
        <f t="array" aca="1" ref="F479" ca="1">+_xludf.IFS(E479="50% teletrabajo",0.5, E479="25% teletrabajo",0.75,E479="75% teletrabajo",0.25,E479="100% teletrabajo",0,E479="100% trabajo presencial",1)</f>
        <v>#NAME?</v>
      </c>
      <c r="G479" s="1310" t="s">
        <v>1964</v>
      </c>
      <c r="H479" s="1310" t="e">
        <f t="array" aca="1" ref="H479" ca="1">+_xludf.IFS(G479="Vehículo - Uso individual","Auto",G479="Vehículo - Uso compartido","Auto",G479="Transporte público","Bus",G479="Moto","Moto",G479="Bicicleta o caminando","Bicicleta")</f>
        <v>#NAME?</v>
      </c>
      <c r="I479" s="1310">
        <v>1</v>
      </c>
      <c r="J479" s="1310">
        <v>5</v>
      </c>
      <c r="K479" s="1312" t="e">
        <f t="shared" ca="1" si="14"/>
        <v>#NAME?</v>
      </c>
      <c r="L479" s="1315" t="e">
        <f ca="1">+K479*I479*VLOOKUP(H479,'Factores Emisión EDGE'!$K$267:$L$272,2,FALSE)/1000</f>
        <v>#NAME?</v>
      </c>
    </row>
    <row r="480" spans="1:12">
      <c r="A480" s="1314">
        <v>44651.484973159721</v>
      </c>
      <c r="B480" s="1310" t="s">
        <v>2851</v>
      </c>
      <c r="C480" s="1310" t="s">
        <v>2852</v>
      </c>
      <c r="D480" s="1310" t="s">
        <v>2066</v>
      </c>
      <c r="E480" s="1310" t="s">
        <v>868</v>
      </c>
      <c r="F480" s="1310" t="e">
        <f t="array" aca="1" ref="F480" ca="1">+_xludf.IFS(E480="50% teletrabajo",0.5, E480="25% teletrabajo",0.75,E480="75% teletrabajo",0.25,E480="100% teletrabajo",0,E480="100% trabajo presencial",1)</f>
        <v>#NAME?</v>
      </c>
      <c r="G480" s="1310" t="s">
        <v>1952</v>
      </c>
      <c r="H480" s="1310" t="e">
        <f t="array" aca="1" ref="H480" ca="1">+_xludf.IFS(G480="Vehículo - Uso individual","Auto",G480="Vehículo - Uso compartido","Auto",G480="Transporte público","Bus",G480="Moto","Moto",G480="Bicicleta o caminando","Bicicleta")</f>
        <v>#NAME?</v>
      </c>
      <c r="I480" s="1310">
        <v>1</v>
      </c>
      <c r="J480" s="1310">
        <v>120</v>
      </c>
      <c r="K480" s="1312" t="e">
        <f t="shared" ca="1" si="14"/>
        <v>#NAME?</v>
      </c>
      <c r="L480" s="1315" t="e">
        <f ca="1">+K480*I480*VLOOKUP(H480,'Factores Emisión EDGE'!$K$267:$L$272,2,FALSE)/1000</f>
        <v>#NAME?</v>
      </c>
    </row>
    <row r="481" spans="1:12">
      <c r="A481" s="1314">
        <v>44651.484976273146</v>
      </c>
      <c r="B481" s="1310" t="s">
        <v>2853</v>
      </c>
      <c r="C481" s="1310" t="s">
        <v>2854</v>
      </c>
      <c r="D481" s="1310" t="s">
        <v>1951</v>
      </c>
      <c r="E481" s="1310" t="s">
        <v>868</v>
      </c>
      <c r="F481" s="1310" t="e">
        <f t="array" aca="1" ref="F481" ca="1">+_xludf.IFS(E481="50% teletrabajo",0.5, E481="25% teletrabajo",0.75,E481="75% teletrabajo",0.25,E481="100% teletrabajo",0,E481="100% trabajo presencial",1)</f>
        <v>#NAME?</v>
      </c>
      <c r="G481" s="1310" t="s">
        <v>1964</v>
      </c>
      <c r="H481" s="1310" t="e">
        <f t="array" aca="1" ref="H481" ca="1">+_xludf.IFS(G481="Vehículo - Uso individual","Auto",G481="Vehículo - Uso compartido","Auto",G481="Transporte público","Bus",G481="Moto","Moto",G481="Bicicleta o caminando","Bicicleta")</f>
        <v>#NAME?</v>
      </c>
      <c r="I481" s="1310">
        <v>1</v>
      </c>
      <c r="J481" s="1310">
        <v>12</v>
      </c>
      <c r="K481" s="1312" t="e">
        <f t="shared" ca="1" si="14"/>
        <v>#NAME?</v>
      </c>
      <c r="L481" s="1315" t="e">
        <f ca="1">+K481*I481*VLOOKUP(H481,'Factores Emisión EDGE'!$K$267:$L$272,2,FALSE)/1000</f>
        <v>#NAME?</v>
      </c>
    </row>
    <row r="482" spans="1:12">
      <c r="A482" s="1314">
        <v>44651.48502482639</v>
      </c>
      <c r="B482" s="1310" t="s">
        <v>2855</v>
      </c>
      <c r="C482" s="1310" t="s">
        <v>2856</v>
      </c>
      <c r="D482" s="1310" t="s">
        <v>2066</v>
      </c>
      <c r="E482" s="1310" t="s">
        <v>868</v>
      </c>
      <c r="F482" s="1310" t="e">
        <f t="array" aca="1" ref="F482" ca="1">+_xludf.IFS(E482="50% teletrabajo",0.5, E482="25% teletrabajo",0.75,E482="75% teletrabajo",0.25,E482="100% teletrabajo",0,E482="100% trabajo presencial",1)</f>
        <v>#NAME?</v>
      </c>
      <c r="G482" s="1310" t="s">
        <v>1995</v>
      </c>
      <c r="H482" s="1310" t="e">
        <f t="array" aca="1" ref="H482" ca="1">+_xludf.IFS(G482="Vehículo - Uso individual","Auto",G482="Vehículo - Uso compartido","Auto",G482="Transporte público","Bus",G482="Moto","Moto",G482="Bicicleta o caminando","Bicicleta")</f>
        <v>#NAME?</v>
      </c>
      <c r="I482" s="1312">
        <v>0.25</v>
      </c>
      <c r="J482" s="1310">
        <v>12</v>
      </c>
      <c r="K482" s="1312" t="e">
        <f t="shared" ca="1" si="14"/>
        <v>#NAME?</v>
      </c>
      <c r="L482" s="1315" t="e">
        <f ca="1">+K482*I482*VLOOKUP(H482,'Factores Emisión EDGE'!$K$267:$L$272,2,FALSE)/1000</f>
        <v>#NAME?</v>
      </c>
    </row>
    <row r="483" spans="1:12">
      <c r="A483" s="1314">
        <v>44651.485824456016</v>
      </c>
      <c r="B483" s="1310" t="s">
        <v>2857</v>
      </c>
      <c r="C483" s="1310" t="s">
        <v>2858</v>
      </c>
      <c r="D483" s="1310" t="s">
        <v>2066</v>
      </c>
      <c r="E483" s="1310" t="s">
        <v>868</v>
      </c>
      <c r="F483" s="1310" t="e">
        <f t="array" aca="1" ref="F483" ca="1">+_xludf.IFS(E483="50% teletrabajo",0.5, E483="25% teletrabajo",0.75,E483="75% teletrabajo",0.25,E483="100% teletrabajo",0,E483="100% trabajo presencial",1)</f>
        <v>#NAME?</v>
      </c>
      <c r="G483" s="1310" t="s">
        <v>1964</v>
      </c>
      <c r="H483" s="1310" t="e">
        <f t="array" aca="1" ref="H483" ca="1">+_xludf.IFS(G483="Vehículo - Uso individual","Auto",G483="Vehículo - Uso compartido","Auto",G483="Transporte público","Bus",G483="Moto","Moto",G483="Bicicleta o caminando","Bicicleta")</f>
        <v>#NAME?</v>
      </c>
      <c r="I483" s="1310">
        <v>1</v>
      </c>
      <c r="J483" s="1310">
        <v>17</v>
      </c>
      <c r="K483" s="1312" t="e">
        <f t="shared" ca="1" si="14"/>
        <v>#NAME?</v>
      </c>
      <c r="L483" s="1315" t="e">
        <f ca="1">+K483*I483*VLOOKUP(H483,'Factores Emisión EDGE'!$K$267:$L$272,2,FALSE)/1000</f>
        <v>#NAME?</v>
      </c>
    </row>
    <row r="484" spans="1:12">
      <c r="A484" s="1314">
        <v>44651.486264340274</v>
      </c>
      <c r="B484" s="1310" t="s">
        <v>2859</v>
      </c>
      <c r="C484" s="1310" t="s">
        <v>2860</v>
      </c>
      <c r="D484" s="1310" t="s">
        <v>2066</v>
      </c>
      <c r="E484" s="1310" t="s">
        <v>868</v>
      </c>
      <c r="F484" s="1310" t="e">
        <f t="array" aca="1" ref="F484" ca="1">+_xludf.IFS(E484="50% teletrabajo",0.5, E484="25% teletrabajo",0.75,E484="75% teletrabajo",0.25,E484="100% teletrabajo",0,E484="100% trabajo presencial",1)</f>
        <v>#NAME?</v>
      </c>
      <c r="G484" s="1310" t="s">
        <v>1964</v>
      </c>
      <c r="H484" s="1310" t="e">
        <f t="array" aca="1" ref="H484" ca="1">+_xludf.IFS(G484="Vehículo - Uso individual","Auto",G484="Vehículo - Uso compartido","Auto",G484="Transporte público","Bus",G484="Moto","Moto",G484="Bicicleta o caminando","Bicicleta")</f>
        <v>#NAME?</v>
      </c>
      <c r="I484" s="1310">
        <v>1</v>
      </c>
      <c r="J484" s="1310">
        <v>8</v>
      </c>
      <c r="K484" s="1312" t="e">
        <f t="shared" ca="1" si="14"/>
        <v>#NAME?</v>
      </c>
      <c r="L484" s="1315" t="e">
        <f ca="1">+K484*I484*VLOOKUP(H484,'Factores Emisión EDGE'!$K$267:$L$272,2,FALSE)/1000</f>
        <v>#NAME?</v>
      </c>
    </row>
    <row r="485" spans="1:12">
      <c r="A485" s="1314">
        <v>44651.487338171297</v>
      </c>
      <c r="B485" s="1310" t="s">
        <v>2861</v>
      </c>
      <c r="C485" s="1310">
        <v>197487488</v>
      </c>
      <c r="D485" s="1310" t="s">
        <v>2066</v>
      </c>
      <c r="E485" s="1310" t="s">
        <v>868</v>
      </c>
      <c r="F485" s="1310" t="e">
        <f t="array" aca="1" ref="F485" ca="1">+_xludf.IFS(E485="50% teletrabajo",0.5, E485="25% teletrabajo",0.75,E485="75% teletrabajo",0.25,E485="100% teletrabajo",0,E485="100% trabajo presencial",1)</f>
        <v>#NAME?</v>
      </c>
      <c r="G485" s="1310" t="s">
        <v>1952</v>
      </c>
      <c r="H485" s="1310" t="e">
        <f t="array" aca="1" ref="H485" ca="1">+_xludf.IFS(G485="Vehículo - Uso individual","Auto",G485="Vehículo - Uso compartido","Auto",G485="Transporte público","Bus",G485="Moto","Moto",G485="Bicicleta o caminando","Bicicleta")</f>
        <v>#NAME?</v>
      </c>
      <c r="I485" s="1310">
        <v>1</v>
      </c>
      <c r="J485" s="1310">
        <v>2</v>
      </c>
      <c r="K485" s="1312" t="e">
        <f t="shared" ca="1" si="14"/>
        <v>#NAME?</v>
      </c>
      <c r="L485" s="1315" t="e">
        <f ca="1">+K485*I485*VLOOKUP(H485,'Factores Emisión EDGE'!$K$267:$L$272,2,FALSE)/1000</f>
        <v>#NAME?</v>
      </c>
    </row>
    <row r="486" spans="1:12">
      <c r="A486" s="1314">
        <v>44651.487987199071</v>
      </c>
      <c r="B486" s="1310" t="s">
        <v>2862</v>
      </c>
      <c r="C486" s="1310" t="s">
        <v>2863</v>
      </c>
      <c r="D486" s="1310" t="s">
        <v>2066</v>
      </c>
      <c r="E486" s="1310" t="s">
        <v>868</v>
      </c>
      <c r="F486" s="1310" t="e">
        <f t="array" aca="1" ref="F486" ca="1">+_xludf.IFS(E486="50% teletrabajo",0.5, E486="25% teletrabajo",0.75,E486="75% teletrabajo",0.25,E486="100% teletrabajo",0,E486="100% trabajo presencial",1)</f>
        <v>#NAME?</v>
      </c>
      <c r="G486" s="1310" t="s">
        <v>1995</v>
      </c>
      <c r="H486" s="1310" t="e">
        <f t="array" aca="1" ref="H486" ca="1">+_xludf.IFS(G486="Vehículo - Uso individual","Auto",G486="Vehículo - Uso compartido","Auto",G486="Transporte público","Bus",G486="Moto","Moto",G486="Bicicleta o caminando","Bicicleta")</f>
        <v>#NAME?</v>
      </c>
      <c r="I486" s="1312">
        <v>0.25</v>
      </c>
      <c r="J486" s="1310">
        <v>2.6</v>
      </c>
      <c r="K486" s="1312" t="e">
        <f t="shared" ca="1" si="14"/>
        <v>#NAME?</v>
      </c>
      <c r="L486" s="1315" t="e">
        <f ca="1">+K486*I486*VLOOKUP(H486,'Factores Emisión EDGE'!$K$267:$L$272,2,FALSE)/1000</f>
        <v>#NAME?</v>
      </c>
    </row>
    <row r="487" spans="1:12">
      <c r="A487" s="1314">
        <v>44651.489216724542</v>
      </c>
      <c r="B487" s="1310" t="s">
        <v>2864</v>
      </c>
      <c r="C487" s="1310">
        <v>203792468</v>
      </c>
      <c r="D487" s="1310" t="s">
        <v>2066</v>
      </c>
      <c r="E487" s="1310" t="s">
        <v>868</v>
      </c>
      <c r="F487" s="1310" t="e">
        <f t="array" aca="1" ref="F487" ca="1">+_xludf.IFS(E487="50% teletrabajo",0.5, E487="25% teletrabajo",0.75,E487="75% teletrabajo",0.25,E487="100% teletrabajo",0,E487="100% trabajo presencial",1)</f>
        <v>#NAME?</v>
      </c>
      <c r="G487" s="1310" t="s">
        <v>1995</v>
      </c>
      <c r="H487" s="1310" t="e">
        <f t="array" aca="1" ref="H487" ca="1">+_xludf.IFS(G487="Vehículo - Uso individual","Auto",G487="Vehículo - Uso compartido","Auto",G487="Transporte público","Bus",G487="Moto","Moto",G487="Bicicleta o caminando","Bicicleta")</f>
        <v>#NAME?</v>
      </c>
      <c r="I487" s="1312">
        <v>0.25</v>
      </c>
      <c r="J487" s="1310"/>
      <c r="K487" s="1312" t="e">
        <f t="shared" ca="1" si="14"/>
        <v>#NAME?</v>
      </c>
      <c r="L487" s="1315" t="e">
        <f ca="1">+K487*I487*VLOOKUP(H487,'Factores Emisión EDGE'!$K$267:$L$272,2,FALSE)/1000</f>
        <v>#NAME?</v>
      </c>
    </row>
    <row r="488" spans="1:12">
      <c r="A488" s="1314">
        <v>44651.491015706022</v>
      </c>
      <c r="B488" s="1310" t="s">
        <v>2865</v>
      </c>
      <c r="C488" s="1310">
        <v>266746482</v>
      </c>
      <c r="D488" s="1310" t="s">
        <v>1951</v>
      </c>
      <c r="E488" s="1310" t="s">
        <v>868</v>
      </c>
      <c r="F488" s="1310" t="e">
        <f t="array" aca="1" ref="F488" ca="1">+_xludf.IFS(E488="50% teletrabajo",0.5, E488="25% teletrabajo",0.75,E488="75% teletrabajo",0.25,E488="100% teletrabajo",0,E488="100% trabajo presencial",1)</f>
        <v>#NAME?</v>
      </c>
      <c r="G488" s="1310" t="s">
        <v>1952</v>
      </c>
      <c r="H488" s="1310" t="e">
        <f t="array" aca="1" ref="H488" ca="1">+_xludf.IFS(G488="Vehículo - Uso individual","Auto",G488="Vehículo - Uso compartido","Auto",G488="Transporte público","Bus",G488="Moto","Moto",G488="Bicicleta o caminando","Bicicleta")</f>
        <v>#NAME?</v>
      </c>
      <c r="I488" s="1310">
        <v>1</v>
      </c>
      <c r="J488" s="1310">
        <v>3</v>
      </c>
      <c r="K488" s="1312" t="e">
        <f t="shared" ca="1" si="14"/>
        <v>#NAME?</v>
      </c>
      <c r="L488" s="1315" t="e">
        <f ca="1">+K488*I488*VLOOKUP(H488,'Factores Emisión EDGE'!$K$267:$L$272,2,FALSE)/1000</f>
        <v>#NAME?</v>
      </c>
    </row>
    <row r="489" spans="1:12">
      <c r="A489" s="1314">
        <v>44651.491025844909</v>
      </c>
      <c r="B489" s="1310" t="s">
        <v>2866</v>
      </c>
      <c r="C489" s="1310" t="s">
        <v>2867</v>
      </c>
      <c r="D489" s="1310" t="s">
        <v>2066</v>
      </c>
      <c r="E489" s="1310" t="s">
        <v>868</v>
      </c>
      <c r="F489" s="1310" t="e">
        <f t="array" aca="1" ref="F489" ca="1">+_xludf.IFS(E489="50% teletrabajo",0.5, E489="25% teletrabajo",0.75,E489="75% teletrabajo",0.25,E489="100% teletrabajo",0,E489="100% trabajo presencial",1)</f>
        <v>#NAME?</v>
      </c>
      <c r="G489" s="1310" t="s">
        <v>1995</v>
      </c>
      <c r="H489" s="1310" t="e">
        <f t="array" aca="1" ref="H489" ca="1">+_xludf.IFS(G489="Vehículo - Uso individual","Auto",G489="Vehículo - Uso compartido","Auto",G489="Transporte público","Bus",G489="Moto","Moto",G489="Bicicleta o caminando","Bicicleta")</f>
        <v>#NAME?</v>
      </c>
      <c r="I489" s="1312">
        <v>0.25</v>
      </c>
      <c r="J489" s="1312"/>
      <c r="K489" s="1312" t="e">
        <f t="shared" ca="1" si="14"/>
        <v>#NAME?</v>
      </c>
      <c r="L489" s="1315" t="e">
        <f ca="1">+K489*I489*VLOOKUP(H489,'Factores Emisión EDGE'!$K$267:$L$272,2,FALSE)/1000</f>
        <v>#NAME?</v>
      </c>
    </row>
    <row r="490" spans="1:12">
      <c r="A490" s="1314">
        <v>44651.492363969912</v>
      </c>
      <c r="B490" s="1310" t="s">
        <v>2868</v>
      </c>
      <c r="C490" s="1310">
        <v>132660794</v>
      </c>
      <c r="D490" s="1310" t="s">
        <v>2066</v>
      </c>
      <c r="E490" s="1310" t="s">
        <v>868</v>
      </c>
      <c r="F490" s="1310" t="e">
        <f t="array" aca="1" ref="F490" ca="1">+_xludf.IFS(E490="50% teletrabajo",0.5, E490="25% teletrabajo",0.75,E490="75% teletrabajo",0.25,E490="100% teletrabajo",0,E490="100% trabajo presencial",1)</f>
        <v>#NAME?</v>
      </c>
      <c r="G490" s="1310" t="s">
        <v>1952</v>
      </c>
      <c r="H490" s="1310" t="e">
        <f t="array" aca="1" ref="H490" ca="1">+_xludf.IFS(G490="Vehículo - Uso individual","Auto",G490="Vehículo - Uso compartido","Auto",G490="Transporte público","Bus",G490="Moto","Moto",G490="Bicicleta o caminando","Bicicleta")</f>
        <v>#NAME?</v>
      </c>
      <c r="I490" s="1310">
        <v>1</v>
      </c>
      <c r="J490" s="1310">
        <v>150</v>
      </c>
      <c r="K490" s="1312" t="e">
        <f t="shared" ca="1" si="14"/>
        <v>#NAME?</v>
      </c>
      <c r="L490" s="1315" t="e">
        <f ca="1">+K490*I490*VLOOKUP(H490,'Factores Emisión EDGE'!$K$267:$L$272,2,FALSE)/1000</f>
        <v>#NAME?</v>
      </c>
    </row>
    <row r="491" spans="1:12">
      <c r="A491" s="1314">
        <v>44651.49342219907</v>
      </c>
      <c r="B491" s="1310" t="s">
        <v>2869</v>
      </c>
      <c r="C491" s="1310" t="s">
        <v>2870</v>
      </c>
      <c r="D491" s="1310" t="s">
        <v>2066</v>
      </c>
      <c r="E491" s="1310" t="s">
        <v>868</v>
      </c>
      <c r="F491" s="1310" t="e">
        <f t="array" aca="1" ref="F491" ca="1">+_xludf.IFS(E491="50% teletrabajo",0.5, E491="25% teletrabajo",0.75,E491="75% teletrabajo",0.25,E491="100% teletrabajo",0,E491="100% trabajo presencial",1)</f>
        <v>#NAME?</v>
      </c>
      <c r="G491" s="1310" t="s">
        <v>1964</v>
      </c>
      <c r="H491" s="1310" t="e">
        <f t="array" aca="1" ref="H491" ca="1">+_xludf.IFS(G491="Vehículo - Uso individual","Auto",G491="Vehículo - Uso compartido","Auto",G491="Transporte público","Bus",G491="Moto","Moto",G491="Bicicleta o caminando","Bicicleta")</f>
        <v>#NAME?</v>
      </c>
      <c r="I491" s="1310">
        <v>1</v>
      </c>
      <c r="J491" s="1310">
        <v>4</v>
      </c>
      <c r="K491" s="1312" t="e">
        <f t="shared" ca="1" si="14"/>
        <v>#NAME?</v>
      </c>
      <c r="L491" s="1315" t="e">
        <f ca="1">+K491*I491*VLOOKUP(H491,'Factores Emisión EDGE'!$K$267:$L$272,2,FALSE)/1000</f>
        <v>#NAME?</v>
      </c>
    </row>
    <row r="492" spans="1:12">
      <c r="A492" s="1314">
        <v>44651.4945558912</v>
      </c>
      <c r="B492" s="1310" t="s">
        <v>2871</v>
      </c>
      <c r="C492" s="1310" t="s">
        <v>2872</v>
      </c>
      <c r="D492" s="1310" t="s">
        <v>2066</v>
      </c>
      <c r="E492" s="1310" t="s">
        <v>868</v>
      </c>
      <c r="F492" s="1310" t="e">
        <f t="array" aca="1" ref="F492" ca="1">+_xludf.IFS(E492="50% teletrabajo",0.5, E492="25% teletrabajo",0.75,E492="75% teletrabajo",0.25,E492="100% teletrabajo",0,E492="100% trabajo presencial",1)</f>
        <v>#NAME?</v>
      </c>
      <c r="G492" s="1310" t="s">
        <v>1995</v>
      </c>
      <c r="H492" s="1310" t="e">
        <f t="array" aca="1" ref="H492" ca="1">+_xludf.IFS(G492="Vehículo - Uso individual","Auto",G492="Vehículo - Uso compartido","Auto",G492="Transporte público","Bus",G492="Moto","Moto",G492="Bicicleta o caminando","Bicicleta")</f>
        <v>#NAME?</v>
      </c>
      <c r="I492" s="1312">
        <v>0.25</v>
      </c>
      <c r="J492" s="1312"/>
      <c r="K492" s="1312" t="e">
        <f t="shared" ca="1" si="14"/>
        <v>#NAME?</v>
      </c>
      <c r="L492" s="1315" t="e">
        <f ca="1">+K492*I492*VLOOKUP(H492,'Factores Emisión EDGE'!$K$267:$L$272,2,FALSE)/1000</f>
        <v>#NAME?</v>
      </c>
    </row>
    <row r="493" spans="1:12">
      <c r="A493" s="1314">
        <v>44651.494563078704</v>
      </c>
      <c r="B493" s="1310" t="s">
        <v>2873</v>
      </c>
      <c r="C493" s="1310" t="s">
        <v>2874</v>
      </c>
      <c r="D493" s="1310" t="s">
        <v>2066</v>
      </c>
      <c r="E493" s="1310" t="s">
        <v>868</v>
      </c>
      <c r="F493" s="1310" t="e">
        <f t="array" aca="1" ref="F493" ca="1">+_xludf.IFS(E493="50% teletrabajo",0.5, E493="25% teletrabajo",0.75,E493="75% teletrabajo",0.25,E493="100% teletrabajo",0,E493="100% trabajo presencial",1)</f>
        <v>#NAME?</v>
      </c>
      <c r="G493" s="1310" t="s">
        <v>1952</v>
      </c>
      <c r="H493" s="1310" t="e">
        <f t="array" aca="1" ref="H493" ca="1">+_xludf.IFS(G493="Vehículo - Uso individual","Auto",G493="Vehículo - Uso compartido","Auto",G493="Transporte público","Bus",G493="Moto","Moto",G493="Bicicleta o caminando","Bicicleta")</f>
        <v>#NAME?</v>
      </c>
      <c r="I493" s="1310">
        <v>1</v>
      </c>
      <c r="J493" s="1310">
        <v>20</v>
      </c>
      <c r="K493" s="1312" t="e">
        <f t="shared" ca="1" si="14"/>
        <v>#NAME?</v>
      </c>
      <c r="L493" s="1315" t="e">
        <f ca="1">+K493*I493*VLOOKUP(H493,'Factores Emisión EDGE'!$K$267:$L$272,2,FALSE)/1000</f>
        <v>#NAME?</v>
      </c>
    </row>
    <row r="494" spans="1:12">
      <c r="A494" s="1314">
        <v>44651.495774675925</v>
      </c>
      <c r="B494" s="1310" t="s">
        <v>2875</v>
      </c>
      <c r="C494" s="1310">
        <v>191648511</v>
      </c>
      <c r="D494" s="1310" t="s">
        <v>2066</v>
      </c>
      <c r="E494" s="1310" t="s">
        <v>868</v>
      </c>
      <c r="F494" s="1310" t="e">
        <f t="array" aca="1" ref="F494" ca="1">+_xludf.IFS(E494="50% teletrabajo",0.5, E494="25% teletrabajo",0.75,E494="75% teletrabajo",0.25,E494="100% teletrabajo",0,E494="100% trabajo presencial",1)</f>
        <v>#NAME?</v>
      </c>
      <c r="G494" s="1310" t="s">
        <v>1964</v>
      </c>
      <c r="H494" s="1310" t="e">
        <f t="array" aca="1" ref="H494" ca="1">+_xludf.IFS(G494="Vehículo - Uso individual","Auto",G494="Vehículo - Uso compartido","Auto",G494="Transporte público","Bus",G494="Moto","Moto",G494="Bicicleta o caminando","Bicicleta")</f>
        <v>#NAME?</v>
      </c>
      <c r="I494" s="1310">
        <v>1</v>
      </c>
      <c r="J494" s="1310">
        <v>100</v>
      </c>
      <c r="K494" s="1312" t="e">
        <f t="shared" ca="1" si="14"/>
        <v>#NAME?</v>
      </c>
      <c r="L494" s="1315" t="e">
        <f ca="1">+K494*I494*VLOOKUP(H494,'Factores Emisión EDGE'!$K$267:$L$272,2,FALSE)/1000</f>
        <v>#NAME?</v>
      </c>
    </row>
    <row r="495" spans="1:12">
      <c r="A495" s="1314">
        <v>44651.49687761574</v>
      </c>
      <c r="B495" s="1310" t="s">
        <v>2876</v>
      </c>
      <c r="C495" s="1310" t="s">
        <v>2877</v>
      </c>
      <c r="D495" s="1310" t="s">
        <v>2066</v>
      </c>
      <c r="E495" s="1310" t="s">
        <v>1960</v>
      </c>
      <c r="F495" s="1310" t="e">
        <f t="array" aca="1" ref="F495" ca="1">+_xludf.IFS(E495="50% teletrabajo",0.5, E495="25% teletrabajo",0.75,E495="75% teletrabajo",0.25,E495="100% teletrabajo",0,E495="100% trabajo presencial",1)</f>
        <v>#NAME?</v>
      </c>
      <c r="G495" s="1310" t="s">
        <v>2356</v>
      </c>
      <c r="H495" s="1310" t="e">
        <f t="array" aca="1" ref="H495" ca="1">+_xludf.IFS(G495="Vehículo - Uso individual","Auto",G495="Vehículo - Uso compartido","Auto",G495="Transporte público","Bus",G495="Moto","Moto",G495="Bicicleta o caminando","Bicicleta")</f>
        <v>#NAME?</v>
      </c>
      <c r="I495" s="1310">
        <v>1</v>
      </c>
      <c r="J495" s="1310">
        <v>4</v>
      </c>
      <c r="K495" s="1312" t="e">
        <f t="shared" ca="1" si="14"/>
        <v>#NAME?</v>
      </c>
      <c r="L495" s="1315"/>
    </row>
    <row r="496" spans="1:12">
      <c r="A496" s="1314">
        <v>44651.501224386579</v>
      </c>
      <c r="B496" s="1310" t="s">
        <v>2878</v>
      </c>
      <c r="C496" s="1310" t="s">
        <v>2879</v>
      </c>
      <c r="D496" s="1310" t="s">
        <v>2066</v>
      </c>
      <c r="E496" s="1310" t="s">
        <v>868</v>
      </c>
      <c r="F496" s="1310" t="e">
        <f t="array" aca="1" ref="F496" ca="1">+_xludf.IFS(E496="50% teletrabajo",0.5, E496="25% teletrabajo",0.75,E496="75% teletrabajo",0.25,E496="100% teletrabajo",0,E496="100% trabajo presencial",1)</f>
        <v>#NAME?</v>
      </c>
      <c r="G496" s="1310" t="s">
        <v>1964</v>
      </c>
      <c r="H496" s="1310" t="e">
        <f t="array" aca="1" ref="H496" ca="1">+_xludf.IFS(G496="Vehículo - Uso individual","Auto",G496="Vehículo - Uso compartido","Auto",G496="Transporte público","Bus",G496="Moto","Moto",G496="Bicicleta o caminando","Bicicleta")</f>
        <v>#NAME?</v>
      </c>
      <c r="I496" s="1310">
        <v>1</v>
      </c>
      <c r="J496" s="1310">
        <v>6</v>
      </c>
      <c r="K496" s="1312" t="e">
        <f t="shared" ca="1" si="14"/>
        <v>#NAME?</v>
      </c>
      <c r="L496" s="1315" t="e">
        <f ca="1">+K496*I496*VLOOKUP(H496,'Factores Emisión EDGE'!$K$267:$L$272,2,FALSE)/1000</f>
        <v>#NAME?</v>
      </c>
    </row>
    <row r="497" spans="1:12">
      <c r="A497" s="1314">
        <v>44651.501603657409</v>
      </c>
      <c r="B497" s="1310" t="s">
        <v>2880</v>
      </c>
      <c r="C497" s="1310" t="s">
        <v>2881</v>
      </c>
      <c r="D497" s="1310" t="s">
        <v>2066</v>
      </c>
      <c r="E497" s="1310" t="s">
        <v>868</v>
      </c>
      <c r="F497" s="1310" t="e">
        <f t="array" aca="1" ref="F497" ca="1">+_xludf.IFS(E497="50% teletrabajo",0.5, E497="25% teletrabajo",0.75,E497="75% teletrabajo",0.25,E497="100% teletrabajo",0,E497="100% trabajo presencial",1)</f>
        <v>#NAME?</v>
      </c>
      <c r="G497" s="1310" t="s">
        <v>1995</v>
      </c>
      <c r="H497" s="1310" t="e">
        <f t="array" aca="1" ref="H497" ca="1">+_xludf.IFS(G497="Vehículo - Uso individual","Auto",G497="Vehículo - Uso compartido","Auto",G497="Transporte público","Bus",G497="Moto","Moto",G497="Bicicleta o caminando","Bicicleta")</f>
        <v>#NAME?</v>
      </c>
      <c r="I497" s="1312">
        <v>0.25</v>
      </c>
      <c r="J497" s="1310">
        <v>2</v>
      </c>
      <c r="K497" s="1312" t="e">
        <f t="shared" ca="1" si="14"/>
        <v>#NAME?</v>
      </c>
      <c r="L497" s="1315" t="e">
        <f ca="1">+K497*I497*VLOOKUP(H497,'Factores Emisión EDGE'!$K$267:$L$272,2,FALSE)/1000</f>
        <v>#NAME?</v>
      </c>
    </row>
    <row r="498" spans="1:12">
      <c r="A498" s="1314">
        <v>44651.502010763885</v>
      </c>
      <c r="B498" s="1310" t="s">
        <v>2882</v>
      </c>
      <c r="C498" s="1310">
        <v>161483559</v>
      </c>
      <c r="D498" s="1310" t="s">
        <v>2066</v>
      </c>
      <c r="E498" s="1310" t="s">
        <v>868</v>
      </c>
      <c r="F498" s="1310" t="e">
        <f t="array" aca="1" ref="F498" ca="1">+_xludf.IFS(E498="50% teletrabajo",0.5, E498="25% teletrabajo",0.75,E498="75% teletrabajo",0.25,E498="100% teletrabajo",0,E498="100% trabajo presencial",1)</f>
        <v>#NAME?</v>
      </c>
      <c r="G498" s="1310" t="s">
        <v>1964</v>
      </c>
      <c r="H498" s="1310" t="e">
        <f t="array" aca="1" ref="H498" ca="1">+_xludf.IFS(G498="Vehículo - Uso individual","Auto",G498="Vehículo - Uso compartido","Auto",G498="Transporte público","Bus",G498="Moto","Moto",G498="Bicicleta o caminando","Bicicleta")</f>
        <v>#NAME?</v>
      </c>
      <c r="I498" s="1310">
        <v>1</v>
      </c>
      <c r="J498" s="1312"/>
      <c r="K498" s="1312" t="e">
        <f t="shared" ca="1" si="14"/>
        <v>#NAME?</v>
      </c>
      <c r="L498" s="1315" t="e">
        <f ca="1">+K498*I498*VLOOKUP(H498,'Factores Emisión EDGE'!$K$267:$L$272,2,FALSE)/1000</f>
        <v>#NAME?</v>
      </c>
    </row>
    <row r="499" spans="1:12">
      <c r="A499" s="1314">
        <v>44651.502149467589</v>
      </c>
      <c r="B499" s="1310" t="s">
        <v>2883</v>
      </c>
      <c r="C499" s="1310" t="s">
        <v>2884</v>
      </c>
      <c r="D499" s="1310" t="s">
        <v>2066</v>
      </c>
      <c r="E499" s="1310" t="s">
        <v>868</v>
      </c>
      <c r="F499" s="1310" t="e">
        <f t="array" aca="1" ref="F499" ca="1">+_xludf.IFS(E499="50% teletrabajo",0.5, E499="25% teletrabajo",0.75,E499="75% teletrabajo",0.25,E499="100% teletrabajo",0,E499="100% trabajo presencial",1)</f>
        <v>#NAME?</v>
      </c>
      <c r="G499" s="1310" t="s">
        <v>1952</v>
      </c>
      <c r="H499" s="1310" t="e">
        <f t="array" aca="1" ref="H499" ca="1">+_xludf.IFS(G499="Vehículo - Uso individual","Auto",G499="Vehículo - Uso compartido","Auto",G499="Transporte público","Bus",G499="Moto","Moto",G499="Bicicleta o caminando","Bicicleta")</f>
        <v>#NAME?</v>
      </c>
      <c r="I499" s="1310">
        <v>1</v>
      </c>
      <c r="J499" s="1310">
        <v>18</v>
      </c>
      <c r="K499" s="1312" t="e">
        <f t="shared" ca="1" si="14"/>
        <v>#NAME?</v>
      </c>
      <c r="L499" s="1315" t="e">
        <f ca="1">+K499*I499*VLOOKUP(H499,'Factores Emisión EDGE'!$K$267:$L$272,2,FALSE)/1000</f>
        <v>#NAME?</v>
      </c>
    </row>
    <row r="500" spans="1:12">
      <c r="A500" s="1314">
        <v>44651.507198321764</v>
      </c>
      <c r="B500" s="1310" t="s">
        <v>2885</v>
      </c>
      <c r="C500" s="1310" t="s">
        <v>2886</v>
      </c>
      <c r="D500" s="1310" t="s">
        <v>2066</v>
      </c>
      <c r="E500" s="1310" t="s">
        <v>868</v>
      </c>
      <c r="F500" s="1310" t="e">
        <f t="array" aca="1" ref="F500" ca="1">+_xludf.IFS(E500="50% teletrabajo",0.5, E500="25% teletrabajo",0.75,E500="75% teletrabajo",0.25,E500="100% teletrabajo",0,E500="100% trabajo presencial",1)</f>
        <v>#NAME?</v>
      </c>
      <c r="G500" s="1310" t="s">
        <v>1995</v>
      </c>
      <c r="H500" s="1310" t="e">
        <f t="array" aca="1" ref="H500" ca="1">+_xludf.IFS(G500="Vehículo - Uso individual","Auto",G500="Vehículo - Uso compartido","Auto",G500="Transporte público","Bus",G500="Moto","Moto",G500="Bicicleta o caminando","Bicicleta")</f>
        <v>#NAME?</v>
      </c>
      <c r="I500" s="1312">
        <v>0.25</v>
      </c>
      <c r="J500" s="1310">
        <v>3.3</v>
      </c>
      <c r="K500" s="1312" t="e">
        <f t="shared" ca="1" si="14"/>
        <v>#NAME?</v>
      </c>
      <c r="L500" s="1315" t="e">
        <f ca="1">+K500*I500*VLOOKUP(H500,'Factores Emisión EDGE'!$K$267:$L$272,2,FALSE)/1000</f>
        <v>#NAME?</v>
      </c>
    </row>
    <row r="501" spans="1:12">
      <c r="A501" s="1314">
        <v>44651.508353287034</v>
      </c>
      <c r="B501" s="1310" t="s">
        <v>2887</v>
      </c>
      <c r="C501" s="1310" t="s">
        <v>2888</v>
      </c>
      <c r="D501" s="1310" t="s">
        <v>2066</v>
      </c>
      <c r="E501" s="1310" t="s">
        <v>868</v>
      </c>
      <c r="F501" s="1310" t="e">
        <f t="array" aca="1" ref="F501" ca="1">+_xludf.IFS(E501="50% teletrabajo",0.5, E501="25% teletrabajo",0.75,E501="75% teletrabajo",0.25,E501="100% teletrabajo",0,E501="100% trabajo presencial",1)</f>
        <v>#NAME?</v>
      </c>
      <c r="G501" s="1310" t="s">
        <v>1995</v>
      </c>
      <c r="H501" s="1310" t="e">
        <f t="array" aca="1" ref="H501" ca="1">+_xludf.IFS(G501="Vehículo - Uso individual","Auto",G501="Vehículo - Uso compartido","Auto",G501="Transporte público","Bus",G501="Moto","Moto",G501="Bicicleta o caminando","Bicicleta")</f>
        <v>#NAME?</v>
      </c>
      <c r="I501" s="1312">
        <v>0.25</v>
      </c>
      <c r="J501" s="1310">
        <v>13</v>
      </c>
      <c r="K501" s="1312" t="e">
        <f t="shared" ca="1" si="14"/>
        <v>#NAME?</v>
      </c>
      <c r="L501" s="1315" t="e">
        <f ca="1">+K501*I501*VLOOKUP(H501,'Factores Emisión EDGE'!$K$267:$L$272,2,FALSE)/1000</f>
        <v>#NAME?</v>
      </c>
    </row>
    <row r="502" spans="1:12">
      <c r="A502" s="1314">
        <v>44651.508650972217</v>
      </c>
      <c r="B502" s="1310" t="s">
        <v>2889</v>
      </c>
      <c r="C502" s="1310" t="s">
        <v>2890</v>
      </c>
      <c r="D502" s="1310" t="s">
        <v>2066</v>
      </c>
      <c r="E502" s="1310" t="s">
        <v>868</v>
      </c>
      <c r="F502" s="1310" t="e">
        <f t="array" aca="1" ref="F502" ca="1">+_xludf.IFS(E502="50% teletrabajo",0.5, E502="25% teletrabajo",0.75,E502="75% teletrabajo",0.25,E502="100% teletrabajo",0,E502="100% trabajo presencial",1)</f>
        <v>#NAME?</v>
      </c>
      <c r="G502" s="1310" t="s">
        <v>1995</v>
      </c>
      <c r="H502" s="1310" t="e">
        <f t="array" aca="1" ref="H502" ca="1">+_xludf.IFS(G502="Vehículo - Uso individual","Auto",G502="Vehículo - Uso compartido","Auto",G502="Transporte público","Bus",G502="Moto","Moto",G502="Bicicleta o caminando","Bicicleta")</f>
        <v>#NAME?</v>
      </c>
      <c r="I502" s="1312">
        <v>0.25</v>
      </c>
      <c r="J502" s="1310">
        <v>11</v>
      </c>
      <c r="K502" s="1312" t="e">
        <f t="shared" ca="1" si="14"/>
        <v>#NAME?</v>
      </c>
      <c r="L502" s="1315" t="e">
        <f ca="1">+K502*I502*VLOOKUP(H502,'Factores Emisión EDGE'!$K$267:$L$272,2,FALSE)/1000</f>
        <v>#NAME?</v>
      </c>
    </row>
    <row r="503" spans="1:12">
      <c r="A503" s="1314">
        <v>44651.510846689816</v>
      </c>
      <c r="B503" s="1310" t="s">
        <v>2891</v>
      </c>
      <c r="C503" s="1310" t="s">
        <v>2892</v>
      </c>
      <c r="D503" s="1310" t="s">
        <v>2066</v>
      </c>
      <c r="E503" s="1310" t="s">
        <v>868</v>
      </c>
      <c r="F503" s="1310" t="e">
        <f t="array" aca="1" ref="F503" ca="1">+_xludf.IFS(E503="50% teletrabajo",0.5, E503="25% teletrabajo",0.75,E503="75% teletrabajo",0.25,E503="100% teletrabajo",0,E503="100% trabajo presencial",1)</f>
        <v>#NAME?</v>
      </c>
      <c r="G503" s="1310" t="s">
        <v>863</v>
      </c>
      <c r="H503" s="1310" t="e">
        <f t="array" aca="1" ref="H503" ca="1">+_xludf.IFS(G503="Vehículo - Uso individual","Auto",G503="Vehículo - Uso compartido","Auto",G503="Transporte público","Bus",G503="Moto","Moto",G503="Bicicleta o caminando","Bicicleta")</f>
        <v>#NAME?</v>
      </c>
      <c r="I503" s="1310">
        <v>1</v>
      </c>
      <c r="J503" s="1310">
        <v>6</v>
      </c>
      <c r="K503" s="1312" t="e">
        <f t="shared" ca="1" si="14"/>
        <v>#NAME?</v>
      </c>
      <c r="L503" s="1315" t="e">
        <f ca="1">+K503*I503*VLOOKUP(H503,'Factores Emisión EDGE'!$K$267:$L$272,2,FALSE)/1000</f>
        <v>#NAME?</v>
      </c>
    </row>
    <row r="504" spans="1:12">
      <c r="A504" s="1314">
        <v>44651.511427476857</v>
      </c>
      <c r="B504" s="1310" t="s">
        <v>2893</v>
      </c>
      <c r="C504" s="1310" t="s">
        <v>2894</v>
      </c>
      <c r="D504" s="1310" t="s">
        <v>2066</v>
      </c>
      <c r="E504" s="1310" t="s">
        <v>872</v>
      </c>
      <c r="F504" s="1310" t="e">
        <f t="array" aca="1" ref="F504" ca="1">+_xludf.IFS(E504="50% teletrabajo",0.5, E504="25% teletrabajo",0.75,E504="75% teletrabajo",0.25,E504="100% teletrabajo",0,E504="100% trabajo presencial",1)</f>
        <v>#NAME?</v>
      </c>
      <c r="G504" s="1310" t="s">
        <v>1952</v>
      </c>
      <c r="H504" s="1310" t="e">
        <f t="array" aca="1" ref="H504" ca="1">+_xludf.IFS(G504="Vehículo - Uso individual","Auto",G504="Vehículo - Uso compartido","Auto",G504="Transporte público","Bus",G504="Moto","Moto",G504="Bicicleta o caminando","Bicicleta")</f>
        <v>#NAME?</v>
      </c>
      <c r="I504" s="1310">
        <v>1</v>
      </c>
      <c r="J504" s="1310">
        <v>60</v>
      </c>
      <c r="K504" s="1312" t="e">
        <f t="shared" ca="1" si="14"/>
        <v>#NAME?</v>
      </c>
      <c r="L504" s="1315" t="e">
        <f ca="1">+K504*I504*VLOOKUP(H504,'Factores Emisión EDGE'!$K$267:$L$272,2,FALSE)/1000</f>
        <v>#NAME?</v>
      </c>
    </row>
    <row r="505" spans="1:12">
      <c r="A505" s="1314">
        <v>44651.516523252314</v>
      </c>
      <c r="B505" s="1310" t="s">
        <v>2895</v>
      </c>
      <c r="C505" s="1310" t="s">
        <v>2896</v>
      </c>
      <c r="D505" s="1310" t="s">
        <v>2066</v>
      </c>
      <c r="E505" s="1310" t="s">
        <v>868</v>
      </c>
      <c r="F505" s="1310" t="e">
        <f t="array" aca="1" ref="F505" ca="1">+_xludf.IFS(E505="50% teletrabajo",0.5, E505="25% teletrabajo",0.75,E505="75% teletrabajo",0.25,E505="100% teletrabajo",0,E505="100% trabajo presencial",1)</f>
        <v>#NAME?</v>
      </c>
      <c r="G505" s="1310" t="s">
        <v>1964</v>
      </c>
      <c r="H505" s="1310" t="e">
        <f t="array" aca="1" ref="H505" ca="1">+_xludf.IFS(G505="Vehículo - Uso individual","Auto",G505="Vehículo - Uso compartido","Auto",G505="Transporte público","Bus",G505="Moto","Moto",G505="Bicicleta o caminando","Bicicleta")</f>
        <v>#NAME?</v>
      </c>
      <c r="I505" s="1310">
        <v>1</v>
      </c>
      <c r="J505" s="1310">
        <v>23</v>
      </c>
      <c r="K505" s="1312" t="e">
        <f t="shared" ca="1" si="14"/>
        <v>#NAME?</v>
      </c>
      <c r="L505" s="1315" t="e">
        <f ca="1">+K505*I505*VLOOKUP(H505,'Factores Emisión EDGE'!$K$267:$L$272,2,FALSE)/1000</f>
        <v>#NAME?</v>
      </c>
    </row>
    <row r="506" spans="1:12">
      <c r="A506" s="1314">
        <v>44651.517434236113</v>
      </c>
      <c r="B506" s="1310" t="s">
        <v>2897</v>
      </c>
      <c r="C506" s="1310" t="s">
        <v>2898</v>
      </c>
      <c r="D506" s="1310" t="s">
        <v>1951</v>
      </c>
      <c r="E506" s="1310" t="s">
        <v>868</v>
      </c>
      <c r="F506" s="1310" t="e">
        <f t="array" aca="1" ref="F506" ca="1">+_xludf.IFS(E506="50% teletrabajo",0.5, E506="25% teletrabajo",0.75,E506="75% teletrabajo",0.25,E506="100% teletrabajo",0,E506="100% trabajo presencial",1)</f>
        <v>#NAME?</v>
      </c>
      <c r="G506" s="1310" t="s">
        <v>1995</v>
      </c>
      <c r="H506" s="1310" t="e">
        <f t="array" aca="1" ref="H506" ca="1">+_xludf.IFS(G506="Vehículo - Uso individual","Auto",G506="Vehículo - Uso compartido","Auto",G506="Transporte público","Bus",G506="Moto","Moto",G506="Bicicleta o caminando","Bicicleta")</f>
        <v>#NAME?</v>
      </c>
      <c r="I506" s="1312">
        <v>0.25</v>
      </c>
      <c r="J506" s="1312"/>
      <c r="K506" s="1312" t="e">
        <f t="shared" ca="1" si="14"/>
        <v>#NAME?</v>
      </c>
      <c r="L506" s="1315" t="e">
        <f ca="1">+K506*I506*VLOOKUP(H506,'Factores Emisión EDGE'!$K$267:$L$272,2,FALSE)/1000</f>
        <v>#NAME?</v>
      </c>
    </row>
    <row r="507" spans="1:12">
      <c r="A507" s="1314">
        <v>44651.517912210649</v>
      </c>
      <c r="B507" s="1310" t="s">
        <v>2899</v>
      </c>
      <c r="C507" s="1310" t="s">
        <v>2900</v>
      </c>
      <c r="D507" s="1310" t="s">
        <v>2066</v>
      </c>
      <c r="E507" s="1310" t="s">
        <v>868</v>
      </c>
      <c r="F507" s="1310" t="e">
        <f t="array" aca="1" ref="F507" ca="1">+_xludf.IFS(E507="50% teletrabajo",0.5, E507="25% teletrabajo",0.75,E507="75% teletrabajo",0.25,E507="100% teletrabajo",0,E507="100% trabajo presencial",1)</f>
        <v>#NAME?</v>
      </c>
      <c r="G507" s="1310" t="s">
        <v>1964</v>
      </c>
      <c r="H507" s="1310" t="e">
        <f t="array" aca="1" ref="H507" ca="1">+_xludf.IFS(G507="Vehículo - Uso individual","Auto",G507="Vehículo - Uso compartido","Auto",G507="Transporte público","Bus",G507="Moto","Moto",G507="Bicicleta o caminando","Bicicleta")</f>
        <v>#NAME?</v>
      </c>
      <c r="I507" s="1310">
        <v>1</v>
      </c>
      <c r="J507" s="1310"/>
      <c r="K507" s="1312" t="e">
        <f t="shared" ca="1" si="14"/>
        <v>#NAME?</v>
      </c>
      <c r="L507" s="1315" t="e">
        <f ca="1">+K507*I507*VLOOKUP(H507,'Factores Emisión EDGE'!$K$267:$L$272,2,FALSE)/1000</f>
        <v>#NAME?</v>
      </c>
    </row>
    <row r="508" spans="1:12">
      <c r="A508" s="1314">
        <v>44651.518422650464</v>
      </c>
      <c r="B508" s="1310" t="s">
        <v>2901</v>
      </c>
      <c r="C508" s="1310">
        <v>163334259</v>
      </c>
      <c r="D508" s="1310" t="s">
        <v>2066</v>
      </c>
      <c r="E508" s="1310" t="s">
        <v>868</v>
      </c>
      <c r="F508" s="1310" t="e">
        <f t="array" aca="1" ref="F508" ca="1">+_xludf.IFS(E508="50% teletrabajo",0.5, E508="25% teletrabajo",0.75,E508="75% teletrabajo",0.25,E508="100% teletrabajo",0,E508="100% trabajo presencial",1)</f>
        <v>#NAME?</v>
      </c>
      <c r="G508" s="1310" t="s">
        <v>1983</v>
      </c>
      <c r="H508" s="1310" t="e">
        <f t="array" aca="1" ref="H508" ca="1">+_xludf.IFS(G508="Vehículo - Uso individual","Auto",G508="Vehículo - Uso compartido","Auto",G508="Transporte público","Bus",G508="Moto","Moto",G508="Bicicleta o caminando","Bicicleta")</f>
        <v>#NAME?</v>
      </c>
      <c r="I508" s="1310">
        <v>1</v>
      </c>
      <c r="J508" s="1310">
        <v>3</v>
      </c>
      <c r="K508" s="1312" t="e">
        <f t="shared" ca="1" si="14"/>
        <v>#NAME?</v>
      </c>
      <c r="L508" s="1315" t="e">
        <f ca="1">+K508*I508*VLOOKUP(H508,'Factores Emisión EDGE'!$K$267:$L$272,2,FALSE)/1000</f>
        <v>#NAME?</v>
      </c>
    </row>
    <row r="509" spans="1:12">
      <c r="A509" s="1314">
        <v>44651.521253171297</v>
      </c>
      <c r="B509" s="1310" t="s">
        <v>2902</v>
      </c>
      <c r="C509" s="1310" t="s">
        <v>2903</v>
      </c>
      <c r="D509" s="1310" t="s">
        <v>2066</v>
      </c>
      <c r="E509" s="1310" t="s">
        <v>868</v>
      </c>
      <c r="F509" s="1310" t="e">
        <f t="array" aca="1" ref="F509" ca="1">+_xludf.IFS(E509="50% teletrabajo",0.5, E509="25% teletrabajo",0.75,E509="75% teletrabajo",0.25,E509="100% teletrabajo",0,E509="100% trabajo presencial",1)</f>
        <v>#NAME?</v>
      </c>
      <c r="G509" s="1310" t="s">
        <v>1995</v>
      </c>
      <c r="H509" s="1310" t="e">
        <f t="array" aca="1" ref="H509" ca="1">+_xludf.IFS(G509="Vehículo - Uso individual","Auto",G509="Vehículo - Uso compartido","Auto",G509="Transporte público","Bus",G509="Moto","Moto",G509="Bicicleta o caminando","Bicicleta")</f>
        <v>#NAME?</v>
      </c>
      <c r="I509" s="1312">
        <v>0.25</v>
      </c>
      <c r="J509" s="1310">
        <v>10</v>
      </c>
      <c r="K509" s="1312" t="e">
        <f t="shared" ca="1" si="14"/>
        <v>#NAME?</v>
      </c>
      <c r="L509" s="1315" t="e">
        <f ca="1">+K509*I509*VLOOKUP(H509,'Factores Emisión EDGE'!$K$267:$L$272,2,FALSE)/1000</f>
        <v>#NAME?</v>
      </c>
    </row>
    <row r="510" spans="1:12">
      <c r="A510" s="1314">
        <v>44651.528645995371</v>
      </c>
      <c r="B510" s="1310" t="s">
        <v>2904</v>
      </c>
      <c r="C510" s="1310">
        <v>202797962</v>
      </c>
      <c r="D510" s="1310" t="s">
        <v>2066</v>
      </c>
      <c r="E510" s="1310" t="s">
        <v>868</v>
      </c>
      <c r="F510" s="1310" t="e">
        <f t="array" aca="1" ref="F510" ca="1">+_xludf.IFS(E510="50% teletrabajo",0.5, E510="25% teletrabajo",0.75,E510="75% teletrabajo",0.25,E510="100% teletrabajo",0,E510="100% trabajo presencial",1)</f>
        <v>#NAME?</v>
      </c>
      <c r="G510" s="1310" t="s">
        <v>1964</v>
      </c>
      <c r="H510" s="1310" t="e">
        <f t="array" aca="1" ref="H510" ca="1">+_xludf.IFS(G510="Vehículo - Uso individual","Auto",G510="Vehículo - Uso compartido","Auto",G510="Transporte público","Bus",G510="Moto","Moto",G510="Bicicleta o caminando","Bicicleta")</f>
        <v>#NAME?</v>
      </c>
      <c r="I510" s="1310">
        <v>1</v>
      </c>
      <c r="J510" s="1310">
        <v>9.1999999999999993</v>
      </c>
      <c r="K510" s="1312" t="e">
        <f t="shared" ca="1" si="14"/>
        <v>#NAME?</v>
      </c>
      <c r="L510" s="1315" t="e">
        <f ca="1">+K510*I510*VLOOKUP(H510,'Factores Emisión EDGE'!$K$267:$L$272,2,FALSE)/1000</f>
        <v>#NAME?</v>
      </c>
    </row>
    <row r="511" spans="1:12">
      <c r="A511" s="1314">
        <v>44651.529032997685</v>
      </c>
      <c r="B511" s="1310" t="s">
        <v>2905</v>
      </c>
      <c r="C511" s="1310" t="s">
        <v>2906</v>
      </c>
      <c r="D511" s="1310" t="s">
        <v>2066</v>
      </c>
      <c r="E511" s="1310" t="s">
        <v>868</v>
      </c>
      <c r="F511" s="1310" t="e">
        <f t="array" aca="1" ref="F511" ca="1">+_xludf.IFS(E511="50% teletrabajo",0.5, E511="25% teletrabajo",0.75,E511="75% teletrabajo",0.25,E511="100% teletrabajo",0,E511="100% trabajo presencial",1)</f>
        <v>#NAME?</v>
      </c>
      <c r="G511" s="1310" t="s">
        <v>1964</v>
      </c>
      <c r="H511" s="1310" t="e">
        <f t="array" aca="1" ref="H511" ca="1">+_xludf.IFS(G511="Vehículo - Uso individual","Auto",G511="Vehículo - Uso compartido","Auto",G511="Transporte público","Bus",G511="Moto","Moto",G511="Bicicleta o caminando","Bicicleta")</f>
        <v>#NAME?</v>
      </c>
      <c r="I511" s="1310">
        <v>1</v>
      </c>
      <c r="J511" s="1310">
        <v>10</v>
      </c>
      <c r="K511" s="1312" t="e">
        <f t="shared" ca="1" si="14"/>
        <v>#NAME?</v>
      </c>
      <c r="L511" s="1315" t="e">
        <f ca="1">+K511*I511*VLOOKUP(H511,'Factores Emisión EDGE'!$K$267:$L$272,2,FALSE)/1000</f>
        <v>#NAME?</v>
      </c>
    </row>
    <row r="512" spans="1:12">
      <c r="A512" s="1314">
        <v>44651.530067974541</v>
      </c>
      <c r="B512" s="1310" t="s">
        <v>2907</v>
      </c>
      <c r="C512" s="1310" t="s">
        <v>2908</v>
      </c>
      <c r="D512" s="1310" t="s">
        <v>2066</v>
      </c>
      <c r="E512" s="1310" t="s">
        <v>868</v>
      </c>
      <c r="F512" s="1310" t="e">
        <f t="array" aca="1" ref="F512" ca="1">+_xludf.IFS(E512="50% teletrabajo",0.5, E512="25% teletrabajo",0.75,E512="75% teletrabajo",0.25,E512="100% teletrabajo",0,E512="100% trabajo presencial",1)</f>
        <v>#NAME?</v>
      </c>
      <c r="G512" s="1310" t="s">
        <v>1952</v>
      </c>
      <c r="H512" s="1310" t="e">
        <f t="array" aca="1" ref="H512" ca="1">+_xludf.IFS(G512="Vehículo - Uso individual","Auto",G512="Vehículo - Uso compartido","Auto",G512="Transporte público","Bus",G512="Moto","Moto",G512="Bicicleta o caminando","Bicicleta")</f>
        <v>#NAME?</v>
      </c>
      <c r="I512" s="1310">
        <v>1</v>
      </c>
      <c r="J512" s="1310">
        <v>10</v>
      </c>
      <c r="K512" s="1312" t="e">
        <f t="shared" ca="1" si="14"/>
        <v>#NAME?</v>
      </c>
      <c r="L512" s="1315" t="e">
        <f ca="1">+K512*I512*VLOOKUP(H512,'Factores Emisión EDGE'!$K$267:$L$272,2,FALSE)/1000</f>
        <v>#NAME?</v>
      </c>
    </row>
    <row r="513" spans="1:12">
      <c r="A513" s="1314">
        <v>44651.532010439812</v>
      </c>
      <c r="B513" s="1310" t="s">
        <v>2909</v>
      </c>
      <c r="C513" s="1310" t="s">
        <v>2910</v>
      </c>
      <c r="D513" s="1310" t="s">
        <v>2066</v>
      </c>
      <c r="E513" s="1310" t="s">
        <v>868</v>
      </c>
      <c r="F513" s="1310" t="e">
        <f t="array" aca="1" ref="F513" ca="1">+_xludf.IFS(E513="50% teletrabajo",0.5, E513="25% teletrabajo",0.75,E513="75% teletrabajo",0.25,E513="100% teletrabajo",0,E513="100% trabajo presencial",1)</f>
        <v>#NAME?</v>
      </c>
      <c r="G513" s="1310" t="s">
        <v>1995</v>
      </c>
      <c r="H513" s="1310" t="e">
        <f t="array" aca="1" ref="H513" ca="1">+_xludf.IFS(G513="Vehículo - Uso individual","Auto",G513="Vehículo - Uso compartido","Auto",G513="Transporte público","Bus",G513="Moto","Moto",G513="Bicicleta o caminando","Bicicleta")</f>
        <v>#NAME?</v>
      </c>
      <c r="I513" s="1312">
        <v>0.25</v>
      </c>
      <c r="J513" s="1310">
        <v>40</v>
      </c>
      <c r="K513" s="1312" t="e">
        <f t="shared" ca="1" si="14"/>
        <v>#NAME?</v>
      </c>
      <c r="L513" s="1315" t="e">
        <f ca="1">+K513*I513*VLOOKUP(H513,'Factores Emisión EDGE'!$K$267:$L$272,2,FALSE)/1000</f>
        <v>#NAME?</v>
      </c>
    </row>
    <row r="514" spans="1:12">
      <c r="A514" s="1314">
        <v>44651.532046192129</v>
      </c>
      <c r="B514" s="1310" t="s">
        <v>2911</v>
      </c>
      <c r="C514" s="1310" t="s">
        <v>2912</v>
      </c>
      <c r="D514" s="1310" t="s">
        <v>1951</v>
      </c>
      <c r="E514" s="1310" t="s">
        <v>868</v>
      </c>
      <c r="F514" s="1310" t="e">
        <f t="array" aca="1" ref="F514" ca="1">+_xludf.IFS(E514="50% teletrabajo",0.5, E514="25% teletrabajo",0.75,E514="75% teletrabajo",0.25,E514="100% teletrabajo",0,E514="100% trabajo presencial",1)</f>
        <v>#NAME?</v>
      </c>
      <c r="G514" s="1310" t="s">
        <v>1983</v>
      </c>
      <c r="H514" s="1310" t="e">
        <f t="array" aca="1" ref="H514" ca="1">+_xludf.IFS(G514="Vehículo - Uso individual","Auto",G514="Vehículo - Uso compartido","Auto",G514="Transporte público","Bus",G514="Moto","Moto",G514="Bicicleta o caminando","Bicicleta")</f>
        <v>#NAME?</v>
      </c>
      <c r="I514" s="1310">
        <v>1</v>
      </c>
      <c r="J514" s="1310">
        <v>16</v>
      </c>
      <c r="K514" s="1312" t="e">
        <f t="shared" ca="1" si="14"/>
        <v>#NAME?</v>
      </c>
      <c r="L514" s="1315" t="e">
        <f ca="1">+K514*I514*VLOOKUP(H514,'Factores Emisión EDGE'!$K$267:$L$272,2,FALSE)/1000</f>
        <v>#NAME?</v>
      </c>
    </row>
    <row r="515" spans="1:12">
      <c r="A515" s="1314">
        <v>44651.534220659727</v>
      </c>
      <c r="B515" s="1310" t="s">
        <v>2913</v>
      </c>
      <c r="C515" s="1310" t="s">
        <v>2914</v>
      </c>
      <c r="D515" s="1310" t="s">
        <v>2066</v>
      </c>
      <c r="E515" s="1310" t="s">
        <v>868</v>
      </c>
      <c r="F515" s="1310" t="e">
        <f t="array" aca="1" ref="F515" ca="1">+_xludf.IFS(E515="50% teletrabajo",0.5, E515="25% teletrabajo",0.75,E515="75% teletrabajo",0.25,E515="100% teletrabajo",0,E515="100% trabajo presencial",1)</f>
        <v>#NAME?</v>
      </c>
      <c r="G515" s="1310" t="s">
        <v>1995</v>
      </c>
      <c r="H515" s="1310" t="e">
        <f t="array" aca="1" ref="H515" ca="1">+_xludf.IFS(G515="Vehículo - Uso individual","Auto",G515="Vehículo - Uso compartido","Auto",G515="Transporte público","Bus",G515="Moto","Moto",G515="Bicicleta o caminando","Bicicleta")</f>
        <v>#NAME?</v>
      </c>
      <c r="I515" s="1312">
        <v>0.25</v>
      </c>
      <c r="J515" s="1310">
        <v>7</v>
      </c>
      <c r="K515" s="1312" t="e">
        <f t="shared" ca="1" si="14"/>
        <v>#NAME?</v>
      </c>
      <c r="L515" s="1315" t="e">
        <f ca="1">+K515*I515*VLOOKUP(H515,'Factores Emisión EDGE'!$K$267:$L$272,2,FALSE)/1000</f>
        <v>#NAME?</v>
      </c>
    </row>
    <row r="516" spans="1:12">
      <c r="A516" s="1314">
        <v>44651.537395532403</v>
      </c>
      <c r="B516" s="1310" t="s">
        <v>2915</v>
      </c>
      <c r="C516" s="1310" t="s">
        <v>2916</v>
      </c>
      <c r="D516" s="1310" t="s">
        <v>1951</v>
      </c>
      <c r="E516" s="1310" t="s">
        <v>872</v>
      </c>
      <c r="F516" s="1310" t="e">
        <f t="array" aca="1" ref="F516" ca="1">+_xludf.IFS(E516="50% teletrabajo",0.5, E516="25% teletrabajo",0.75,E516="75% teletrabajo",0.25,E516="100% teletrabajo",0,E516="100% trabajo presencial",1)</f>
        <v>#NAME?</v>
      </c>
      <c r="G516" s="1310" t="s">
        <v>1952</v>
      </c>
      <c r="H516" s="1310" t="e">
        <f t="array" aca="1" ref="H516" ca="1">+_xludf.IFS(G516="Vehículo - Uso individual","Auto",G516="Vehículo - Uso compartido","Auto",G516="Transporte público","Bus",G516="Moto","Moto",G516="Bicicleta o caminando","Bicicleta")</f>
        <v>#NAME?</v>
      </c>
      <c r="I516" s="1310">
        <v>1</v>
      </c>
      <c r="J516" s="1310">
        <v>30</v>
      </c>
      <c r="K516" s="1312" t="e">
        <f t="shared" ca="1" si="14"/>
        <v>#NAME?</v>
      </c>
      <c r="L516" s="1315" t="e">
        <f ca="1">+K516*I516*VLOOKUP(H516,'Factores Emisión EDGE'!$K$267:$L$272,2,FALSE)/1000</f>
        <v>#NAME?</v>
      </c>
    </row>
    <row r="517" spans="1:12">
      <c r="A517" s="1314">
        <v>44651.544808993058</v>
      </c>
      <c r="B517" s="1310" t="s">
        <v>2221</v>
      </c>
      <c r="C517" s="1310" t="s">
        <v>2222</v>
      </c>
      <c r="D517" s="1310" t="s">
        <v>1951</v>
      </c>
      <c r="E517" s="1310" t="s">
        <v>868</v>
      </c>
      <c r="F517" s="1310" t="e">
        <f t="array" aca="1" ref="F517" ca="1">+_xludf.IFS(E517="50% teletrabajo",0.5, E517="25% teletrabajo",0.75,E517="75% teletrabajo",0.25,E517="100% teletrabajo",0,E517="100% trabajo presencial",1)</f>
        <v>#NAME?</v>
      </c>
      <c r="G517" s="1310" t="s">
        <v>1995</v>
      </c>
      <c r="H517" s="1310" t="e">
        <f t="array" aca="1" ref="H517" ca="1">+_xludf.IFS(G517="Vehículo - Uso individual","Auto",G517="Vehículo - Uso compartido","Auto",G517="Transporte público","Bus",G517="Moto","Moto",G517="Bicicleta o caminando","Bicicleta")</f>
        <v>#NAME?</v>
      </c>
      <c r="I517" s="1312">
        <v>0.25</v>
      </c>
      <c r="J517" s="1310">
        <v>30</v>
      </c>
      <c r="K517" s="1312" t="e">
        <f t="shared" ca="1" si="14"/>
        <v>#NAME?</v>
      </c>
      <c r="L517" s="1315" t="e">
        <f ca="1">+K517*I517*VLOOKUP(H517,'Factores Emisión EDGE'!$K$267:$L$272,2,FALSE)/1000</f>
        <v>#NAME?</v>
      </c>
    </row>
    <row r="518" spans="1:12">
      <c r="A518" s="1314">
        <v>44651.545763379632</v>
      </c>
      <c r="B518" s="1310" t="s">
        <v>2917</v>
      </c>
      <c r="C518" s="1310" t="s">
        <v>2918</v>
      </c>
      <c r="D518" s="1310" t="s">
        <v>1951</v>
      </c>
      <c r="E518" s="1310" t="s">
        <v>868</v>
      </c>
      <c r="F518" s="1310" t="e">
        <f t="array" aca="1" ref="F518" ca="1">+_xludf.IFS(E518="50% teletrabajo",0.5, E518="25% teletrabajo",0.75,E518="75% teletrabajo",0.25,E518="100% teletrabajo",0,E518="100% trabajo presencial",1)</f>
        <v>#NAME?</v>
      </c>
      <c r="G518" s="1310" t="s">
        <v>1952</v>
      </c>
      <c r="H518" s="1310" t="e">
        <f t="array" aca="1" ref="H518" ca="1">+_xludf.IFS(G518="Vehículo - Uso individual","Auto",G518="Vehículo - Uso compartido","Auto",G518="Transporte público","Bus",G518="Moto","Moto",G518="Bicicleta o caminando","Bicicleta")</f>
        <v>#NAME?</v>
      </c>
      <c r="I518" s="1310">
        <v>1</v>
      </c>
      <c r="J518" s="1310">
        <v>2</v>
      </c>
      <c r="K518" s="1312" t="e">
        <f t="shared" ca="1" si="14"/>
        <v>#NAME?</v>
      </c>
      <c r="L518" s="1315" t="e">
        <f ca="1">+K518*I518*VLOOKUP(H518,'Factores Emisión EDGE'!$K$267:$L$272,2,FALSE)/1000</f>
        <v>#NAME?</v>
      </c>
    </row>
    <row r="519" spans="1:12">
      <c r="A519" s="1314">
        <v>44651.548898958332</v>
      </c>
      <c r="B519" s="1310" t="s">
        <v>2919</v>
      </c>
      <c r="C519" s="1310">
        <v>266961707</v>
      </c>
      <c r="D519" s="1310" t="s">
        <v>2066</v>
      </c>
      <c r="E519" s="1310" t="s">
        <v>868</v>
      </c>
      <c r="F519" s="1310" t="e">
        <f t="array" aca="1" ref="F519" ca="1">+_xludf.IFS(E519="50% teletrabajo",0.5, E519="25% teletrabajo",0.75,E519="75% teletrabajo",0.25,E519="100% teletrabajo",0,E519="100% trabajo presencial",1)</f>
        <v>#NAME?</v>
      </c>
      <c r="G519" s="1310" t="s">
        <v>1995</v>
      </c>
      <c r="H519" s="1310" t="e">
        <f t="array" aca="1" ref="H519" ca="1">+_xludf.IFS(G519="Vehículo - Uso individual","Auto",G519="Vehículo - Uso compartido","Auto",G519="Transporte público","Bus",G519="Moto","Moto",G519="Bicicleta o caminando","Bicicleta")</f>
        <v>#NAME?</v>
      </c>
      <c r="I519" s="1312">
        <v>0.25</v>
      </c>
      <c r="J519" s="1310">
        <v>10</v>
      </c>
      <c r="K519" s="1312" t="e">
        <f t="shared" ca="1" si="14"/>
        <v>#NAME?</v>
      </c>
      <c r="L519" s="1315" t="e">
        <f ca="1">+K519*I519*VLOOKUP(H519,'Factores Emisión EDGE'!$K$267:$L$272,2,FALSE)/1000</f>
        <v>#NAME?</v>
      </c>
    </row>
    <row r="520" spans="1:12">
      <c r="A520" s="1314">
        <v>44651.551228622688</v>
      </c>
      <c r="B520" s="1310" t="s">
        <v>2920</v>
      </c>
      <c r="C520" s="1310" t="s">
        <v>2921</v>
      </c>
      <c r="D520" s="1310" t="s">
        <v>1951</v>
      </c>
      <c r="E520" s="1310" t="s">
        <v>868</v>
      </c>
      <c r="F520" s="1310" t="e">
        <f t="array" aca="1" ref="F520" ca="1">+_xludf.IFS(E520="50% teletrabajo",0.5, E520="25% teletrabajo",0.75,E520="75% teletrabajo",0.25,E520="100% teletrabajo",0,E520="100% trabajo presencial",1)</f>
        <v>#NAME?</v>
      </c>
      <c r="G520" s="1310" t="s">
        <v>1952</v>
      </c>
      <c r="H520" s="1310" t="e">
        <f t="array" aca="1" ref="H520" ca="1">+_xludf.IFS(G520="Vehículo - Uso individual","Auto",G520="Vehículo - Uso compartido","Auto",G520="Transporte público","Bus",G520="Moto","Moto",G520="Bicicleta o caminando","Bicicleta")</f>
        <v>#NAME?</v>
      </c>
      <c r="I520" s="1310">
        <v>1</v>
      </c>
      <c r="J520" s="1310">
        <v>30</v>
      </c>
      <c r="K520" s="1312" t="e">
        <f t="shared" ca="1" si="14"/>
        <v>#NAME?</v>
      </c>
      <c r="L520" s="1315" t="e">
        <f ca="1">+K520*I520*VLOOKUP(H520,'Factores Emisión EDGE'!$K$267:$L$272,2,FALSE)/1000</f>
        <v>#NAME?</v>
      </c>
    </row>
    <row r="521" spans="1:12">
      <c r="A521" s="1314">
        <v>44651.553576956023</v>
      </c>
      <c r="B521" s="1310" t="s">
        <v>2922</v>
      </c>
      <c r="C521" s="1310" t="s">
        <v>2923</v>
      </c>
      <c r="D521" s="1310" t="s">
        <v>2066</v>
      </c>
      <c r="E521" s="1310" t="s">
        <v>868</v>
      </c>
      <c r="F521" s="1310" t="e">
        <f t="array" aca="1" ref="F521" ca="1">+_xludf.IFS(E521="50% teletrabajo",0.5, E521="25% teletrabajo",0.75,E521="75% teletrabajo",0.25,E521="100% teletrabajo",0,E521="100% trabajo presencial",1)</f>
        <v>#NAME?</v>
      </c>
      <c r="G521" s="1310" t="s">
        <v>1952</v>
      </c>
      <c r="H521" s="1310" t="e">
        <f t="array" aca="1" ref="H521" ca="1">+_xludf.IFS(G521="Vehículo - Uso individual","Auto",G521="Vehículo - Uso compartido","Auto",G521="Transporte público","Bus",G521="Moto","Moto",G521="Bicicleta o caminando","Bicicleta")</f>
        <v>#NAME?</v>
      </c>
      <c r="I521" s="1310">
        <v>1</v>
      </c>
      <c r="J521" s="1310">
        <v>5</v>
      </c>
      <c r="K521" s="1312" t="e">
        <f t="shared" ca="1" si="14"/>
        <v>#NAME?</v>
      </c>
      <c r="L521" s="1315" t="e">
        <f ca="1">+K521*I521*VLOOKUP(H521,'Factores Emisión EDGE'!$K$267:$L$272,2,FALSE)/1000</f>
        <v>#NAME?</v>
      </c>
    </row>
    <row r="522" spans="1:12">
      <c r="A522" s="1314">
        <v>44651.560899733799</v>
      </c>
      <c r="B522" s="1310" t="s">
        <v>2924</v>
      </c>
      <c r="C522" s="1310" t="s">
        <v>2925</v>
      </c>
      <c r="D522" s="1310" t="s">
        <v>2066</v>
      </c>
      <c r="E522" s="1310" t="s">
        <v>868</v>
      </c>
      <c r="F522" s="1310" t="e">
        <f t="array" aca="1" ref="F522" ca="1">+_xludf.IFS(E522="50% teletrabajo",0.5, E522="25% teletrabajo",0.75,E522="75% teletrabajo",0.25,E522="100% teletrabajo",0,E522="100% trabajo presencial",1)</f>
        <v>#NAME?</v>
      </c>
      <c r="G522" s="1310" t="s">
        <v>1964</v>
      </c>
      <c r="H522" s="1310" t="e">
        <f t="array" aca="1" ref="H522" ca="1">+_xludf.IFS(G522="Vehículo - Uso individual","Auto",G522="Vehículo - Uso compartido","Auto",G522="Transporte público","Bus",G522="Moto","Moto",G522="Bicicleta o caminando","Bicicleta")</f>
        <v>#NAME?</v>
      </c>
      <c r="I522" s="1310">
        <v>1</v>
      </c>
      <c r="J522" s="1310">
        <v>2.4</v>
      </c>
      <c r="K522" s="1312" t="e">
        <f t="shared" ca="1" si="14"/>
        <v>#NAME?</v>
      </c>
      <c r="L522" s="1315" t="e">
        <f ca="1">+K522*I522*VLOOKUP(H522,'Factores Emisión EDGE'!$K$267:$L$272,2,FALSE)/1000</f>
        <v>#NAME?</v>
      </c>
    </row>
    <row r="523" spans="1:12">
      <c r="A523" s="1314">
        <v>44651.567744537038</v>
      </c>
      <c r="B523" s="1310" t="s">
        <v>2926</v>
      </c>
      <c r="C523" s="1310" t="s">
        <v>2927</v>
      </c>
      <c r="D523" s="1310" t="s">
        <v>2066</v>
      </c>
      <c r="E523" s="1310" t="s">
        <v>868</v>
      </c>
      <c r="F523" s="1310" t="e">
        <f t="array" aca="1" ref="F523" ca="1">+_xludf.IFS(E523="50% teletrabajo",0.5, E523="25% teletrabajo",0.75,E523="75% teletrabajo",0.25,E523="100% teletrabajo",0,E523="100% trabajo presencial",1)</f>
        <v>#NAME?</v>
      </c>
      <c r="G523" s="1310" t="s">
        <v>1995</v>
      </c>
      <c r="H523" s="1310" t="e">
        <f t="array" aca="1" ref="H523" ca="1">+_xludf.IFS(G523="Vehículo - Uso individual","Auto",G523="Vehículo - Uso compartido","Auto",G523="Transporte público","Bus",G523="Moto","Moto",G523="Bicicleta o caminando","Bicicleta")</f>
        <v>#NAME?</v>
      </c>
      <c r="I523" s="1312">
        <v>0.25</v>
      </c>
      <c r="J523" s="1310">
        <v>5</v>
      </c>
      <c r="K523" s="1312" t="e">
        <f t="shared" ca="1" si="14"/>
        <v>#NAME?</v>
      </c>
      <c r="L523" s="1315" t="e">
        <f ca="1">+K523*I523*VLOOKUP(H523,'Factores Emisión EDGE'!$K$267:$L$272,2,FALSE)/1000</f>
        <v>#NAME?</v>
      </c>
    </row>
    <row r="524" spans="1:12">
      <c r="A524" s="1314">
        <v>44651.573214490738</v>
      </c>
      <c r="B524" s="1310" t="s">
        <v>2928</v>
      </c>
      <c r="C524" s="1310" t="s">
        <v>2929</v>
      </c>
      <c r="D524" s="1310" t="s">
        <v>1951</v>
      </c>
      <c r="E524" s="1310" t="s">
        <v>868</v>
      </c>
      <c r="F524" s="1310" t="e">
        <f t="array" aca="1" ref="F524" ca="1">+_xludf.IFS(E524="50% teletrabajo",0.5, E524="25% teletrabajo",0.75,E524="75% teletrabajo",0.25,E524="100% teletrabajo",0,E524="100% trabajo presencial",1)</f>
        <v>#NAME?</v>
      </c>
      <c r="G524" s="1310" t="s">
        <v>1964</v>
      </c>
      <c r="H524" s="1310" t="e">
        <f t="array" aca="1" ref="H524" ca="1">+_xludf.IFS(G524="Vehículo - Uso individual","Auto",G524="Vehículo - Uso compartido","Auto",G524="Transporte público","Bus",G524="Moto","Moto",G524="Bicicleta o caminando","Bicicleta")</f>
        <v>#NAME?</v>
      </c>
      <c r="I524" s="1310">
        <v>1</v>
      </c>
      <c r="J524" s="1310">
        <v>15</v>
      </c>
      <c r="K524" s="1312" t="e">
        <f t="shared" ca="1" si="14"/>
        <v>#NAME?</v>
      </c>
      <c r="L524" s="1315" t="e">
        <f ca="1">+K524*I524*VLOOKUP(H524,'Factores Emisión EDGE'!$K$267:$L$272,2,FALSE)/1000</f>
        <v>#NAME?</v>
      </c>
    </row>
    <row r="525" spans="1:12">
      <c r="A525" s="1314">
        <v>44651.573509409718</v>
      </c>
      <c r="B525" s="1310" t="s">
        <v>2930</v>
      </c>
      <c r="C525" s="1310" t="s">
        <v>2931</v>
      </c>
      <c r="D525" s="1310" t="s">
        <v>2066</v>
      </c>
      <c r="E525" s="1310" t="s">
        <v>868</v>
      </c>
      <c r="F525" s="1310" t="e">
        <f t="array" aca="1" ref="F525" ca="1">+_xludf.IFS(E525="50% teletrabajo",0.5, E525="25% teletrabajo",0.75,E525="75% teletrabajo",0.25,E525="100% teletrabajo",0,E525="100% trabajo presencial",1)</f>
        <v>#NAME?</v>
      </c>
      <c r="G525" s="1310" t="s">
        <v>1952</v>
      </c>
      <c r="H525" s="1310" t="e">
        <f t="array" aca="1" ref="H525" ca="1">+_xludf.IFS(G525="Vehículo - Uso individual","Auto",G525="Vehículo - Uso compartido","Auto",G525="Transporte público","Bus",G525="Moto","Moto",G525="Bicicleta o caminando","Bicicleta")</f>
        <v>#NAME?</v>
      </c>
      <c r="I525" s="1310">
        <v>1</v>
      </c>
      <c r="J525" s="1310">
        <v>4</v>
      </c>
      <c r="K525" s="1312" t="e">
        <f t="shared" ca="1" si="14"/>
        <v>#NAME?</v>
      </c>
      <c r="L525" s="1315" t="e">
        <f ca="1">+K525*I525*VLOOKUP(H525,'Factores Emisión EDGE'!$K$267:$L$272,2,FALSE)/1000</f>
        <v>#NAME?</v>
      </c>
    </row>
    <row r="526" spans="1:12">
      <c r="A526" s="1314">
        <v>44651.586681793982</v>
      </c>
      <c r="B526" s="1310" t="s">
        <v>2932</v>
      </c>
      <c r="C526" s="1310" t="s">
        <v>2933</v>
      </c>
      <c r="D526" s="1310" t="s">
        <v>2066</v>
      </c>
      <c r="E526" s="1310" t="s">
        <v>868</v>
      </c>
      <c r="F526" s="1310" t="e">
        <f t="array" aca="1" ref="F526" ca="1">+_xludf.IFS(E526="50% teletrabajo",0.5, E526="25% teletrabajo",0.75,E526="75% teletrabajo",0.25,E526="100% teletrabajo",0,E526="100% trabajo presencial",1)</f>
        <v>#NAME?</v>
      </c>
      <c r="G526" s="1310" t="s">
        <v>1995</v>
      </c>
      <c r="H526" s="1310" t="e">
        <f t="array" aca="1" ref="H526" ca="1">+_xludf.IFS(G526="Vehículo - Uso individual","Auto",G526="Vehículo - Uso compartido","Auto",G526="Transporte público","Bus",G526="Moto","Moto",G526="Bicicleta o caminando","Bicicleta")</f>
        <v>#NAME?</v>
      </c>
      <c r="I526" s="1312">
        <v>0.25</v>
      </c>
      <c r="J526" s="1310">
        <v>15</v>
      </c>
      <c r="K526" s="1312" t="e">
        <f t="shared" ca="1" si="14"/>
        <v>#NAME?</v>
      </c>
      <c r="L526" s="1315" t="e">
        <f ca="1">+K526*I526*VLOOKUP(H526,'Factores Emisión EDGE'!$K$267:$L$272,2,FALSE)/1000</f>
        <v>#NAME?</v>
      </c>
    </row>
    <row r="527" spans="1:12">
      <c r="A527" s="1314">
        <v>44651.60232189815</v>
      </c>
      <c r="B527" s="1310" t="s">
        <v>2934</v>
      </c>
      <c r="C527" s="1310" t="s">
        <v>2935</v>
      </c>
      <c r="D527" s="1310" t="s">
        <v>2066</v>
      </c>
      <c r="E527" s="1310" t="s">
        <v>868</v>
      </c>
      <c r="F527" s="1310" t="e">
        <f t="array" aca="1" ref="F527" ca="1">+_xludf.IFS(E527="50% teletrabajo",0.5, E527="25% teletrabajo",0.75,E527="75% teletrabajo",0.25,E527="100% teletrabajo",0,E527="100% trabajo presencial",1)</f>
        <v>#NAME?</v>
      </c>
      <c r="G527" s="1310" t="s">
        <v>1995</v>
      </c>
      <c r="H527" s="1310" t="e">
        <f t="array" aca="1" ref="H527" ca="1">+_xludf.IFS(G527="Vehículo - Uso individual","Auto",G527="Vehículo - Uso compartido","Auto",G527="Transporte público","Bus",G527="Moto","Moto",G527="Bicicleta o caminando","Bicicleta")</f>
        <v>#NAME?</v>
      </c>
      <c r="I527" s="1312">
        <v>0.25</v>
      </c>
      <c r="J527" s="1310">
        <v>1</v>
      </c>
      <c r="K527" s="1312" t="e">
        <f t="shared" ca="1" si="14"/>
        <v>#NAME?</v>
      </c>
      <c r="L527" s="1315" t="e">
        <f ca="1">+K527*I527*VLOOKUP(H527,'Factores Emisión EDGE'!$K$267:$L$272,2,FALSE)/1000</f>
        <v>#NAME?</v>
      </c>
    </row>
    <row r="528" spans="1:12">
      <c r="A528" s="1314">
        <v>44651.603376296298</v>
      </c>
      <c r="B528" s="1310" t="s">
        <v>2936</v>
      </c>
      <c r="C528" s="1310" t="s">
        <v>2937</v>
      </c>
      <c r="D528" s="1310" t="s">
        <v>2066</v>
      </c>
      <c r="E528" s="1310" t="s">
        <v>868</v>
      </c>
      <c r="F528" s="1310" t="e">
        <f t="array" aca="1" ref="F528" ca="1">+_xludf.IFS(E528="50% teletrabajo",0.5, E528="25% teletrabajo",0.75,E528="75% teletrabajo",0.25,E528="100% teletrabajo",0,E528="100% trabajo presencial",1)</f>
        <v>#NAME?</v>
      </c>
      <c r="G528" s="1310" t="s">
        <v>1952</v>
      </c>
      <c r="H528" s="1310" t="e">
        <f t="array" aca="1" ref="H528" ca="1">+_xludf.IFS(G528="Vehículo - Uso individual","Auto",G528="Vehículo - Uso compartido","Auto",G528="Transporte público","Bus",G528="Moto","Moto",G528="Bicicleta o caminando","Bicicleta")</f>
        <v>#NAME?</v>
      </c>
      <c r="I528" s="1310">
        <v>1</v>
      </c>
      <c r="J528" s="1310">
        <v>20</v>
      </c>
      <c r="K528" s="1312" t="e">
        <f t="shared" ca="1" si="14"/>
        <v>#NAME?</v>
      </c>
      <c r="L528" s="1315" t="e">
        <f ca="1">+K528*I528*VLOOKUP(H528,'Factores Emisión EDGE'!$K$267:$L$272,2,FALSE)/1000</f>
        <v>#NAME?</v>
      </c>
    </row>
    <row r="529" spans="1:17">
      <c r="A529" s="1314">
        <v>44651.611703101851</v>
      </c>
      <c r="B529" s="1310" t="s">
        <v>2938</v>
      </c>
      <c r="C529" s="1310" t="s">
        <v>2939</v>
      </c>
      <c r="D529" s="1310" t="s">
        <v>1951</v>
      </c>
      <c r="E529" s="1310" t="s">
        <v>1960</v>
      </c>
      <c r="F529" s="1310" t="e">
        <f t="array" aca="1" ref="F529" ca="1">+_xludf.IFS(E529="50% teletrabajo",0.5, E529="25% teletrabajo",0.75,E529="75% teletrabajo",0.25,E529="100% teletrabajo",0,E529="100% trabajo presencial",1)</f>
        <v>#NAME?</v>
      </c>
      <c r="G529" s="1310" t="s">
        <v>1952</v>
      </c>
      <c r="H529" s="1310" t="e">
        <f t="array" aca="1" ref="H529" ca="1">+_xludf.IFS(G529="Vehículo - Uso individual","Auto",G529="Vehículo - Uso compartido","Auto",G529="Transporte público","Bus",G529="Moto","Moto",G529="Bicicleta o caminando","Bicicleta")</f>
        <v>#NAME?</v>
      </c>
      <c r="I529" s="1310">
        <v>1</v>
      </c>
      <c r="J529" s="1310">
        <v>47</v>
      </c>
      <c r="K529" s="1312" t="e">
        <f t="shared" ca="1" si="14"/>
        <v>#NAME?</v>
      </c>
      <c r="L529" s="1315" t="e">
        <f ca="1">+K529*I529*VLOOKUP(H529,'Factores Emisión EDGE'!$K$267:$L$272,2,FALSE)/1000</f>
        <v>#NAME?</v>
      </c>
      <c r="M529" s="1312"/>
      <c r="N529" s="1312"/>
      <c r="O529" s="1312"/>
      <c r="P529" s="1312"/>
      <c r="Q529" s="1312"/>
    </row>
    <row r="530" spans="1:17">
      <c r="A530" s="1314">
        <v>44651.613977210647</v>
      </c>
      <c r="B530" s="1310" t="s">
        <v>2940</v>
      </c>
      <c r="C530" s="1310" t="s">
        <v>2941</v>
      </c>
      <c r="D530" s="1310" t="s">
        <v>2066</v>
      </c>
      <c r="E530" s="1310" t="s">
        <v>868</v>
      </c>
      <c r="F530" s="1310" t="e">
        <f t="array" aca="1" ref="F530" ca="1">+_xludf.IFS(E530="50% teletrabajo",0.5, E530="25% teletrabajo",0.75,E530="75% teletrabajo",0.25,E530="100% teletrabajo",0,E530="100% trabajo presencial",1)</f>
        <v>#NAME?</v>
      </c>
      <c r="G530" s="1310" t="s">
        <v>1964</v>
      </c>
      <c r="H530" s="1310" t="e">
        <f t="array" aca="1" ref="H530" ca="1">+_xludf.IFS(G530="Vehículo - Uso individual","Auto",G530="Vehículo - Uso compartido","Auto",G530="Transporte público","Bus",G530="Moto","Moto",G530="Bicicleta o caminando","Bicicleta")</f>
        <v>#NAME?</v>
      </c>
      <c r="I530" s="1310">
        <v>1</v>
      </c>
      <c r="J530" s="1310">
        <v>5.6</v>
      </c>
      <c r="K530" s="1312" t="e">
        <f t="shared" ca="1" si="14"/>
        <v>#NAME?</v>
      </c>
      <c r="L530" s="1315" t="e">
        <f ca="1">+K530*I530*VLOOKUP(H530,'Factores Emisión EDGE'!$K$267:$L$272,2,FALSE)/1000</f>
        <v>#NAME?</v>
      </c>
      <c r="M530" s="1312"/>
      <c r="N530" s="1312"/>
      <c r="O530" s="1312"/>
      <c r="P530" s="1312"/>
      <c r="Q530" s="1312"/>
    </row>
    <row r="531" spans="1:17">
      <c r="A531" s="1314">
        <v>44651.617115567133</v>
      </c>
      <c r="B531" s="1310" t="s">
        <v>2942</v>
      </c>
      <c r="C531" s="1310" t="s">
        <v>2943</v>
      </c>
      <c r="D531" s="1310" t="s">
        <v>2066</v>
      </c>
      <c r="E531" s="1310" t="s">
        <v>868</v>
      </c>
      <c r="F531" s="1310" t="e">
        <f t="array" aca="1" ref="F531" ca="1">+_xludf.IFS(E531="50% teletrabajo",0.5, E531="25% teletrabajo",0.75,E531="75% teletrabajo",0.25,E531="100% teletrabajo",0,E531="100% trabajo presencial",1)</f>
        <v>#NAME?</v>
      </c>
      <c r="G531" s="1310" t="s">
        <v>1952</v>
      </c>
      <c r="H531" s="1310" t="e">
        <f t="array" aca="1" ref="H531" ca="1">+_xludf.IFS(G531="Vehículo - Uso individual","Auto",G531="Vehículo - Uso compartido","Auto",G531="Transporte público","Bus",G531="Moto","Moto",G531="Bicicleta o caminando","Bicicleta")</f>
        <v>#NAME?</v>
      </c>
      <c r="I531" s="1310">
        <v>1</v>
      </c>
      <c r="J531" s="1310">
        <v>10</v>
      </c>
      <c r="K531" s="1312" t="e">
        <f t="shared" ca="1" si="14"/>
        <v>#NAME?</v>
      </c>
      <c r="L531" s="1315" t="e">
        <f ca="1">+K531*I531*VLOOKUP(H531,'Factores Emisión EDGE'!$K$267:$L$272,2,FALSE)/1000</f>
        <v>#NAME?</v>
      </c>
      <c r="M531" s="1312"/>
      <c r="N531" s="1312"/>
      <c r="O531" s="1312"/>
      <c r="P531" s="1312"/>
      <c r="Q531" s="1312"/>
    </row>
    <row r="532" spans="1:17">
      <c r="A532" s="1314">
        <v>44651.622308576392</v>
      </c>
      <c r="B532" s="1310" t="s">
        <v>2944</v>
      </c>
      <c r="C532" s="1310" t="s">
        <v>2945</v>
      </c>
      <c r="D532" s="1310" t="s">
        <v>2066</v>
      </c>
      <c r="E532" s="1310" t="s">
        <v>868</v>
      </c>
      <c r="F532" s="1310" t="e">
        <f t="array" aca="1" ref="F532" ca="1">+_xludf.IFS(E532="50% teletrabajo",0.5, E532="25% teletrabajo",0.75,E532="75% teletrabajo",0.25,E532="100% teletrabajo",0,E532="100% trabajo presencial",1)</f>
        <v>#NAME?</v>
      </c>
      <c r="G532" s="1310" t="s">
        <v>1995</v>
      </c>
      <c r="H532" s="1310" t="e">
        <f t="array" aca="1" ref="H532" ca="1">+_xludf.IFS(G532="Vehículo - Uso individual","Auto",G532="Vehículo - Uso compartido","Auto",G532="Transporte público","Bus",G532="Moto","Moto",G532="Bicicleta o caminando","Bicicleta")</f>
        <v>#NAME?</v>
      </c>
      <c r="I532" s="1312">
        <v>0.25</v>
      </c>
      <c r="J532" s="1310">
        <v>18</v>
      </c>
      <c r="K532" s="1312" t="e">
        <f t="shared" ca="1" si="14"/>
        <v>#NAME?</v>
      </c>
      <c r="L532" s="1315" t="e">
        <f ca="1">+K532*I532*VLOOKUP(H532,'Factores Emisión EDGE'!$K$267:$L$272,2,FALSE)/1000</f>
        <v>#NAME?</v>
      </c>
      <c r="M532" s="1312"/>
      <c r="N532" s="1312"/>
      <c r="O532" s="1312"/>
      <c r="P532" s="1312"/>
      <c r="Q532" s="1312"/>
    </row>
    <row r="533" spans="1:17">
      <c r="A533" s="1314">
        <v>44651.631400300925</v>
      </c>
      <c r="B533" s="1310" t="s">
        <v>2946</v>
      </c>
      <c r="C533" s="1310" t="s">
        <v>2947</v>
      </c>
      <c r="D533" s="1310" t="s">
        <v>2066</v>
      </c>
      <c r="E533" s="1310" t="s">
        <v>868</v>
      </c>
      <c r="F533" s="1310" t="e">
        <f t="array" aca="1" ref="F533" ca="1">+_xludf.IFS(E533="50% teletrabajo",0.5, E533="25% teletrabajo",0.75,E533="75% teletrabajo",0.25,E533="100% teletrabajo",0,E533="100% trabajo presencial",1)</f>
        <v>#NAME?</v>
      </c>
      <c r="G533" s="1310" t="s">
        <v>1983</v>
      </c>
      <c r="H533" s="1310" t="e">
        <f t="array" aca="1" ref="H533" ca="1">+_xludf.IFS(G533="Vehículo - Uso individual","Auto",G533="Vehículo - Uso compartido","Auto",G533="Transporte público","Bus",G533="Moto","Moto",G533="Bicicleta o caminando","Bicicleta")</f>
        <v>#NAME?</v>
      </c>
      <c r="I533" s="1310">
        <v>1</v>
      </c>
      <c r="J533" s="1310">
        <v>5</v>
      </c>
      <c r="K533" s="1312" t="e">
        <f t="shared" ca="1" si="14"/>
        <v>#NAME?</v>
      </c>
      <c r="L533" s="1315" t="e">
        <f ca="1">+K533*I533*VLOOKUP(H533,'Factores Emisión EDGE'!$K$267:$L$272,2,FALSE)/1000</f>
        <v>#NAME?</v>
      </c>
      <c r="M533" s="1312"/>
      <c r="N533" s="1312"/>
      <c r="O533" s="1312"/>
      <c r="P533" s="1312"/>
      <c r="Q533" s="1312"/>
    </row>
    <row r="534" spans="1:17">
      <c r="A534" s="1314">
        <v>44651.633480798613</v>
      </c>
      <c r="B534" s="1310" t="s">
        <v>2948</v>
      </c>
      <c r="C534" s="1310" t="s">
        <v>2949</v>
      </c>
      <c r="D534" s="1310" t="s">
        <v>2066</v>
      </c>
      <c r="E534" s="1310" t="s">
        <v>868</v>
      </c>
      <c r="F534" s="1310" t="e">
        <f t="array" aca="1" ref="F534" ca="1">+_xludf.IFS(E534="50% teletrabajo",0.5, E534="25% teletrabajo",0.75,E534="75% teletrabajo",0.25,E534="100% teletrabajo",0,E534="100% trabajo presencial",1)</f>
        <v>#NAME?</v>
      </c>
      <c r="G534" s="1310" t="s">
        <v>1964</v>
      </c>
      <c r="H534" s="1310" t="e">
        <f t="array" aca="1" ref="H534" ca="1">+_xludf.IFS(G534="Vehículo - Uso individual","Auto",G534="Vehículo - Uso compartido","Auto",G534="Transporte público","Bus",G534="Moto","Moto",G534="Bicicleta o caminando","Bicicleta")</f>
        <v>#NAME?</v>
      </c>
      <c r="I534" s="1310">
        <v>1</v>
      </c>
      <c r="J534" s="1310">
        <v>8.6</v>
      </c>
      <c r="K534" s="1312" t="e">
        <f t="shared" ca="1" si="14"/>
        <v>#NAME?</v>
      </c>
      <c r="L534" s="1315" t="e">
        <f ca="1">+K534*I534*VLOOKUP(H534,'Factores Emisión EDGE'!$K$267:$L$272,2,FALSE)/1000</f>
        <v>#NAME?</v>
      </c>
      <c r="M534" s="1312"/>
      <c r="N534" s="1312"/>
      <c r="O534" s="1312"/>
      <c r="P534" s="1312"/>
      <c r="Q534" s="1312"/>
    </row>
    <row r="535" spans="1:17">
      <c r="A535" s="1314">
        <v>44651.639417291663</v>
      </c>
      <c r="B535" s="1310" t="s">
        <v>2950</v>
      </c>
      <c r="C535" s="1310" t="s">
        <v>2951</v>
      </c>
      <c r="D535" s="1310" t="s">
        <v>2066</v>
      </c>
      <c r="E535" s="1310" t="s">
        <v>868</v>
      </c>
      <c r="F535" s="1310" t="e">
        <f t="array" aca="1" ref="F535" ca="1">+_xludf.IFS(E535="50% teletrabajo",0.5, E535="25% teletrabajo",0.75,E535="75% teletrabajo",0.25,E535="100% teletrabajo",0,E535="100% trabajo presencial",1)</f>
        <v>#NAME?</v>
      </c>
      <c r="G535" s="1310" t="s">
        <v>1964</v>
      </c>
      <c r="H535" s="1310" t="e">
        <f t="array" aca="1" ref="H535" ca="1">+_xludf.IFS(G535="Vehículo - Uso individual","Auto",G535="Vehículo - Uso compartido","Auto",G535="Transporte público","Bus",G535="Moto","Moto",G535="Bicicleta o caminando","Bicicleta")</f>
        <v>#NAME?</v>
      </c>
      <c r="I535" s="1310">
        <v>1</v>
      </c>
      <c r="J535" s="1310">
        <v>3</v>
      </c>
      <c r="K535" s="1312" t="e">
        <f t="shared" ca="1" si="14"/>
        <v>#NAME?</v>
      </c>
      <c r="L535" s="1315" t="e">
        <f ca="1">+K535*I535*VLOOKUP(H535,'Factores Emisión EDGE'!$K$267:$L$272,2,FALSE)/1000</f>
        <v>#NAME?</v>
      </c>
      <c r="M535" s="1312"/>
      <c r="N535" s="1312"/>
      <c r="O535" s="1312"/>
      <c r="P535" s="1312"/>
      <c r="Q535" s="1312"/>
    </row>
    <row r="536" spans="1:17">
      <c r="A536" s="1314">
        <v>44651.650902997688</v>
      </c>
      <c r="B536" s="1310" t="s">
        <v>2952</v>
      </c>
      <c r="C536" s="1310">
        <v>161012025</v>
      </c>
      <c r="D536" s="1310" t="s">
        <v>2066</v>
      </c>
      <c r="E536" s="1310" t="s">
        <v>868</v>
      </c>
      <c r="F536" s="1310" t="e">
        <f t="array" aca="1" ref="F536" ca="1">+_xludf.IFS(E536="50% teletrabajo",0.5, E536="25% teletrabajo",0.75,E536="75% teletrabajo",0.25,E536="100% teletrabajo",0,E536="100% trabajo presencial",1)</f>
        <v>#NAME?</v>
      </c>
      <c r="G536" s="1310" t="s">
        <v>1952</v>
      </c>
      <c r="H536" s="1310" t="e">
        <f t="array" aca="1" ref="H536" ca="1">+_xludf.IFS(G536="Vehículo - Uso individual","Auto",G536="Vehículo - Uso compartido","Auto",G536="Transporte público","Bus",G536="Moto","Moto",G536="Bicicleta o caminando","Bicicleta")</f>
        <v>#NAME?</v>
      </c>
      <c r="I536" s="1310">
        <v>1</v>
      </c>
      <c r="J536" s="1310">
        <v>35</v>
      </c>
      <c r="K536" s="1312" t="e">
        <f t="shared" ca="1" si="14"/>
        <v>#NAME?</v>
      </c>
      <c r="L536" s="1315" t="e">
        <f ca="1">+K536*I536*VLOOKUP(H536,'Factores Emisión EDGE'!$K$267:$L$272,2,FALSE)/1000</f>
        <v>#NAME?</v>
      </c>
      <c r="M536" s="1312"/>
      <c r="N536" s="1312"/>
      <c r="O536" s="1312"/>
      <c r="P536" s="1312"/>
      <c r="Q536" s="1312"/>
    </row>
    <row r="537" spans="1:17">
      <c r="A537" s="1314">
        <v>44651.661833692131</v>
      </c>
      <c r="B537" s="1310" t="s">
        <v>2953</v>
      </c>
      <c r="C537" s="1310" t="s">
        <v>2954</v>
      </c>
      <c r="D537" s="1310" t="s">
        <v>1951</v>
      </c>
      <c r="E537" s="1310" t="s">
        <v>868</v>
      </c>
      <c r="F537" s="1310" t="e">
        <f t="array" aca="1" ref="F537" ca="1">+_xludf.IFS(E537="50% teletrabajo",0.5, E537="25% teletrabajo",0.75,E537="75% teletrabajo",0.25,E537="100% teletrabajo",0,E537="100% trabajo presencial",1)</f>
        <v>#NAME?</v>
      </c>
      <c r="G537" s="1310" t="s">
        <v>1952</v>
      </c>
      <c r="H537" s="1310" t="e">
        <f t="array" aca="1" ref="H537" ca="1">+_xludf.IFS(G537="Vehículo - Uso individual","Auto",G537="Vehículo - Uso compartido","Auto",G537="Transporte público","Bus",G537="Moto","Moto",G537="Bicicleta o caminando","Bicicleta")</f>
        <v>#NAME?</v>
      </c>
      <c r="I537" s="1310">
        <v>1</v>
      </c>
      <c r="J537" s="1310">
        <v>40</v>
      </c>
      <c r="K537" s="1312" t="e">
        <f t="shared" ca="1" si="14"/>
        <v>#NAME?</v>
      </c>
      <c r="L537" s="1315" t="e">
        <f ca="1">+K537*I537*VLOOKUP(H537,'Factores Emisión EDGE'!$K$267:$L$272,2,FALSE)/1000</f>
        <v>#NAME?</v>
      </c>
      <c r="M537" s="1312"/>
      <c r="N537" s="1312"/>
      <c r="O537" s="1312"/>
      <c r="P537" s="1312"/>
      <c r="Q537" s="1312"/>
    </row>
    <row r="538" spans="1:17">
      <c r="A538" s="1314">
        <v>44651.662743900466</v>
      </c>
      <c r="B538" s="1310" t="s">
        <v>2955</v>
      </c>
      <c r="C538" s="1310">
        <v>240011697</v>
      </c>
      <c r="D538" s="1310" t="s">
        <v>2066</v>
      </c>
      <c r="E538" s="1310" t="s">
        <v>868</v>
      </c>
      <c r="F538" s="1310" t="e">
        <f t="array" aca="1" ref="F538" ca="1">+_xludf.IFS(E538="50% teletrabajo",0.5, E538="25% teletrabajo",0.75,E538="75% teletrabajo",0.25,E538="100% teletrabajo",0,E538="100% trabajo presencial",1)</f>
        <v>#NAME?</v>
      </c>
      <c r="G538" s="1310" t="s">
        <v>1964</v>
      </c>
      <c r="H538" s="1310" t="e">
        <f t="array" aca="1" ref="H538" ca="1">+_xludf.IFS(G538="Vehículo - Uso individual","Auto",G538="Vehículo - Uso compartido","Auto",G538="Transporte público","Bus",G538="Moto","Moto",G538="Bicicleta o caminando","Bicicleta")</f>
        <v>#NAME?</v>
      </c>
      <c r="I538" s="1310">
        <v>1</v>
      </c>
      <c r="J538" s="1310">
        <v>22</v>
      </c>
      <c r="K538" s="1312" t="e">
        <f t="shared" ca="1" si="14"/>
        <v>#NAME?</v>
      </c>
      <c r="L538" s="1315" t="e">
        <f ca="1">+K538*I538*VLOOKUP(H538,'Factores Emisión EDGE'!$K$267:$L$272,2,FALSE)/1000</f>
        <v>#NAME?</v>
      </c>
      <c r="M538" s="1312"/>
      <c r="N538" s="1312"/>
      <c r="O538" s="1312"/>
      <c r="P538" s="1312"/>
      <c r="Q538" s="1312"/>
    </row>
    <row r="539" spans="1:17">
      <c r="A539" s="1314">
        <v>44651.669801990742</v>
      </c>
      <c r="B539" s="1310" t="s">
        <v>2956</v>
      </c>
      <c r="C539" s="1310" t="s">
        <v>2957</v>
      </c>
      <c r="D539" s="1310" t="s">
        <v>1951</v>
      </c>
      <c r="E539" s="1310" t="s">
        <v>1960</v>
      </c>
      <c r="F539" s="1310" t="e">
        <f t="array" aca="1" ref="F539" ca="1">+_xludf.IFS(E539="50% teletrabajo",0.5, E539="25% teletrabajo",0.75,E539="75% teletrabajo",0.25,E539="100% teletrabajo",0,E539="100% trabajo presencial",1)</f>
        <v>#NAME?</v>
      </c>
      <c r="G539" s="1310" t="s">
        <v>2356</v>
      </c>
      <c r="H539" s="1310" t="e">
        <f t="array" aca="1" ref="H539" ca="1">+_xludf.IFS(G539="Vehículo - Uso individual","Auto",G539="Vehículo - Uso compartido","Auto",G539="Transporte público","Bus",G539="Moto","Moto",G539="Bicicleta o caminando","Bicicleta")</f>
        <v>#NAME?</v>
      </c>
      <c r="I539" s="1310">
        <v>1</v>
      </c>
      <c r="J539" s="1310">
        <v>0</v>
      </c>
      <c r="K539" s="1312" t="e">
        <f t="shared" ca="1" si="14"/>
        <v>#NAME?</v>
      </c>
      <c r="L539" s="1315"/>
      <c r="M539" s="1312"/>
      <c r="N539" s="1312"/>
      <c r="O539" s="1312"/>
      <c r="P539" s="1312"/>
      <c r="Q539" s="1312"/>
    </row>
    <row r="540" spans="1:17">
      <c r="A540" s="1314">
        <v>44651.67221207176</v>
      </c>
      <c r="B540" s="1310" t="s">
        <v>2958</v>
      </c>
      <c r="C540" s="1310" t="s">
        <v>2959</v>
      </c>
      <c r="D540" s="1310" t="s">
        <v>2066</v>
      </c>
      <c r="E540" s="1310" t="s">
        <v>1960</v>
      </c>
      <c r="F540" s="1310" t="e">
        <f t="array" aca="1" ref="F540" ca="1">+_xludf.IFS(E540="50% teletrabajo",0.5, E540="25% teletrabajo",0.75,E540="75% teletrabajo",0.25,E540="100% teletrabajo",0,E540="100% trabajo presencial",1)</f>
        <v>#NAME?</v>
      </c>
      <c r="G540" s="1310" t="s">
        <v>2356</v>
      </c>
      <c r="H540" s="1310" t="e">
        <f t="array" aca="1" ref="H540" ca="1">+_xludf.IFS(G540="Vehículo - Uso individual","Auto",G540="Vehículo - Uso compartido","Auto",G540="Transporte público","Bus",G540="Moto","Moto",G540="Bicicleta o caminando","Bicicleta")</f>
        <v>#NAME?</v>
      </c>
      <c r="I540" s="1310">
        <v>1</v>
      </c>
      <c r="J540" s="1310">
        <v>0</v>
      </c>
      <c r="K540" s="1312" t="e">
        <f t="shared" ca="1" si="14"/>
        <v>#NAME?</v>
      </c>
      <c r="L540" s="1315"/>
      <c r="M540" s="1312"/>
      <c r="N540" s="1312"/>
      <c r="O540" s="1312"/>
      <c r="P540" s="1312"/>
      <c r="Q540" s="1312"/>
    </row>
    <row r="541" spans="1:17">
      <c r="A541" s="1314">
        <v>44651.672243043984</v>
      </c>
      <c r="B541" s="1310" t="s">
        <v>2960</v>
      </c>
      <c r="C541" s="1310" t="s">
        <v>2961</v>
      </c>
      <c r="D541" s="1310" t="s">
        <v>2066</v>
      </c>
      <c r="E541" s="1310" t="s">
        <v>868</v>
      </c>
      <c r="F541" s="1310" t="e">
        <f t="array" aca="1" ref="F541" ca="1">+_xludf.IFS(E541="50% teletrabajo",0.5, E541="25% teletrabajo",0.75,E541="75% teletrabajo",0.25,E541="100% teletrabajo",0,E541="100% trabajo presencial",1)</f>
        <v>#NAME?</v>
      </c>
      <c r="G541" s="1310" t="s">
        <v>1995</v>
      </c>
      <c r="H541" s="1310" t="e">
        <f t="array" aca="1" ref="H541" ca="1">+_xludf.IFS(G541="Vehículo - Uso individual","Auto",G541="Vehículo - Uso compartido","Auto",G541="Transporte público","Bus",G541="Moto","Moto",G541="Bicicleta o caminando","Bicicleta")</f>
        <v>#NAME?</v>
      </c>
      <c r="I541" s="1312">
        <v>0.25</v>
      </c>
      <c r="J541" s="1310">
        <v>10</v>
      </c>
      <c r="K541" s="1312" t="e">
        <f t="shared" ca="1" si="14"/>
        <v>#NAME?</v>
      </c>
      <c r="L541" s="1315" t="e">
        <f ca="1">+K541*I541*VLOOKUP(H541,'Factores Emisión EDGE'!$K$267:$L$272,2,FALSE)/1000</f>
        <v>#NAME?</v>
      </c>
      <c r="M541" s="1312"/>
      <c r="N541" s="1312"/>
      <c r="O541" s="1312"/>
      <c r="P541" s="1312"/>
      <c r="Q541" s="1312"/>
    </row>
    <row r="542" spans="1:17">
      <c r="A542" s="1314">
        <v>44651.694194444441</v>
      </c>
      <c r="B542" s="1310" t="s">
        <v>2962</v>
      </c>
      <c r="C542" s="1310" t="s">
        <v>2963</v>
      </c>
      <c r="D542" s="1310" t="s">
        <v>1951</v>
      </c>
      <c r="E542" s="1310" t="s">
        <v>868</v>
      </c>
      <c r="F542" s="1310" t="e">
        <f t="array" aca="1" ref="F542" ca="1">+_xludf.IFS(E542="50% teletrabajo",0.5, E542="25% teletrabajo",0.75,E542="75% teletrabajo",0.25,E542="100% teletrabajo",0,E542="100% trabajo presencial",1)</f>
        <v>#NAME?</v>
      </c>
      <c r="G542" s="1310" t="s">
        <v>1952</v>
      </c>
      <c r="H542" s="1310" t="e">
        <f t="array" aca="1" ref="H542" ca="1">+_xludf.IFS(G542="Vehículo - Uso individual","Auto",G542="Vehículo - Uso compartido","Auto",G542="Transporte público","Bus",G542="Moto","Moto",G542="Bicicleta o caminando","Bicicleta")</f>
        <v>#NAME?</v>
      </c>
      <c r="I542" s="1310">
        <v>1</v>
      </c>
      <c r="J542" s="1310">
        <v>10</v>
      </c>
      <c r="K542" s="1312" t="e">
        <f t="shared" ca="1" si="14"/>
        <v>#NAME?</v>
      </c>
      <c r="L542" s="1315" t="e">
        <f ca="1">+K542*I542*VLOOKUP(H542,'Factores Emisión EDGE'!$K$267:$L$272,2,FALSE)/1000</f>
        <v>#NAME?</v>
      </c>
      <c r="M542" s="1312"/>
      <c r="N542" s="1312"/>
      <c r="O542" s="1312"/>
      <c r="P542" s="1312"/>
      <c r="Q542" s="1310" t="s">
        <v>1945</v>
      </c>
    </row>
    <row r="543" spans="1:17">
      <c r="A543" s="1314">
        <v>44651.696367083336</v>
      </c>
      <c r="B543" s="1310" t="s">
        <v>2964</v>
      </c>
      <c r="C543" s="1310" t="s">
        <v>2965</v>
      </c>
      <c r="D543" s="1310" t="s">
        <v>1951</v>
      </c>
      <c r="E543" s="1310" t="s">
        <v>868</v>
      </c>
      <c r="F543" s="1310" t="e">
        <f t="array" aca="1" ref="F543" ca="1">+_xludf.IFS(E543="50% teletrabajo",0.5, E543="25% teletrabajo",0.75,E543="75% teletrabajo",0.25,E543="100% teletrabajo",0,E543="100% trabajo presencial",1)</f>
        <v>#NAME?</v>
      </c>
      <c r="G543" s="1310" t="s">
        <v>1952</v>
      </c>
      <c r="H543" s="1310" t="e">
        <f t="array" aca="1" ref="H543" ca="1">+_xludf.IFS(G543="Vehículo - Uso individual","Auto",G543="Vehículo - Uso compartido","Auto",G543="Transporte público","Bus",G543="Moto","Moto",G543="Bicicleta o caminando","Bicicleta")</f>
        <v>#NAME?</v>
      </c>
      <c r="I543" s="1310">
        <v>1</v>
      </c>
      <c r="J543" s="1310">
        <v>47</v>
      </c>
      <c r="K543" s="1312" t="e">
        <f t="shared" ca="1" si="14"/>
        <v>#NAME?</v>
      </c>
      <c r="L543" s="1315" t="e">
        <f ca="1">+K543*I543*VLOOKUP(H543,'Factores Emisión EDGE'!$K$267:$L$272,2,FALSE)/1000</f>
        <v>#NAME?</v>
      </c>
      <c r="M543" s="1312"/>
      <c r="N543" s="1312"/>
      <c r="O543" s="1312"/>
      <c r="P543" s="1312"/>
      <c r="Q543" s="1310" t="s">
        <v>872</v>
      </c>
    </row>
    <row r="544" spans="1:17">
      <c r="A544" s="1314">
        <v>44651.704329872686</v>
      </c>
      <c r="B544" s="1310" t="s">
        <v>2966</v>
      </c>
      <c r="C544" s="1310" t="s">
        <v>2967</v>
      </c>
      <c r="D544" s="1310" t="s">
        <v>2066</v>
      </c>
      <c r="E544" s="1310" t="s">
        <v>868</v>
      </c>
      <c r="F544" s="1310" t="e">
        <f t="array" aca="1" ref="F544" ca="1">+_xludf.IFS(E544="50% teletrabajo",0.5, E544="25% teletrabajo",0.75,E544="75% teletrabajo",0.25,E544="100% teletrabajo",0,E544="100% trabajo presencial",1)</f>
        <v>#NAME?</v>
      </c>
      <c r="G544" s="1310" t="s">
        <v>1952</v>
      </c>
      <c r="H544" s="1310" t="e">
        <f t="array" aca="1" ref="H544" ca="1">+_xludf.IFS(G544="Vehículo - Uso individual","Auto",G544="Vehículo - Uso compartido","Auto",G544="Transporte público","Bus",G544="Moto","Moto",G544="Bicicleta o caminando","Bicicleta")</f>
        <v>#NAME?</v>
      </c>
      <c r="I544" s="1310">
        <v>1</v>
      </c>
      <c r="J544" s="1310">
        <v>10</v>
      </c>
      <c r="K544" s="1312" t="e">
        <f t="shared" ca="1" si="14"/>
        <v>#NAME?</v>
      </c>
      <c r="L544" s="1315" t="e">
        <f ca="1">+K544*I544*VLOOKUP(H544,'Factores Emisión EDGE'!$K$267:$L$272,2,FALSE)/1000</f>
        <v>#NAME?</v>
      </c>
      <c r="M544" s="1312"/>
      <c r="N544" s="1312"/>
      <c r="O544" s="1312"/>
      <c r="P544" s="1312"/>
      <c r="Q544" s="1310" t="s">
        <v>1955</v>
      </c>
    </row>
    <row r="545" spans="1:17">
      <c r="A545" s="1314">
        <v>44651.732498541664</v>
      </c>
      <c r="B545" s="1310" t="s">
        <v>2968</v>
      </c>
      <c r="C545" s="1310" t="s">
        <v>2969</v>
      </c>
      <c r="D545" s="1310" t="s">
        <v>2066</v>
      </c>
      <c r="E545" s="1310" t="s">
        <v>868</v>
      </c>
      <c r="F545" s="1310" t="e">
        <f t="array" aca="1" ref="F545" ca="1">+_xludf.IFS(E545="50% teletrabajo",0.5, E545="25% teletrabajo",0.75,E545="75% teletrabajo",0.25,E545="100% teletrabajo",0,E545="100% trabajo presencial",1)</f>
        <v>#NAME?</v>
      </c>
      <c r="G545" s="1310" t="s">
        <v>1952</v>
      </c>
      <c r="H545" s="1310" t="e">
        <f t="array" aca="1" ref="H545" ca="1">+_xludf.IFS(G545="Vehículo - Uso individual","Auto",G545="Vehículo - Uso compartido","Auto",G545="Transporte público","Bus",G545="Moto","Moto",G545="Bicicleta o caminando","Bicicleta")</f>
        <v>#NAME?</v>
      </c>
      <c r="I545" s="1310">
        <v>1</v>
      </c>
      <c r="J545" s="1310">
        <v>3</v>
      </c>
      <c r="K545" s="1312" t="e">
        <f t="shared" ca="1" si="14"/>
        <v>#NAME?</v>
      </c>
      <c r="L545" s="1315" t="e">
        <f ca="1">+K545*I545*VLOOKUP(H545,'Factores Emisión EDGE'!$K$267:$L$272,2,FALSE)/1000</f>
        <v>#NAME?</v>
      </c>
      <c r="M545" s="1312"/>
      <c r="N545" s="1312"/>
      <c r="O545" s="1312"/>
      <c r="P545" s="1312"/>
      <c r="Q545" s="1310" t="s">
        <v>868</v>
      </c>
    </row>
    <row r="546" spans="1:17">
      <c r="A546" s="1314">
        <v>44651.747468240741</v>
      </c>
      <c r="B546" s="1310" t="s">
        <v>2970</v>
      </c>
      <c r="C546" s="1310" t="s">
        <v>2971</v>
      </c>
      <c r="D546" s="1310" t="s">
        <v>1951</v>
      </c>
      <c r="E546" s="1310" t="s">
        <v>868</v>
      </c>
      <c r="F546" s="1310" t="e">
        <f t="array" aca="1" ref="F546" ca="1">+_xludf.IFS(E546="50% teletrabajo",0.5, E546="25% teletrabajo",0.75,E546="75% teletrabajo",0.25,E546="100% teletrabajo",0,E546="100% trabajo presencial",1)</f>
        <v>#NAME?</v>
      </c>
      <c r="G546" s="1310" t="s">
        <v>1995</v>
      </c>
      <c r="H546" s="1310" t="e">
        <f t="array" aca="1" ref="H546" ca="1">+_xludf.IFS(G546="Vehículo - Uso individual","Auto",G546="Vehículo - Uso compartido","Auto",G546="Transporte público","Bus",G546="Moto","Moto",G546="Bicicleta o caminando","Bicicleta")</f>
        <v>#NAME?</v>
      </c>
      <c r="I546" s="1312">
        <v>0.25</v>
      </c>
      <c r="J546" s="1310">
        <v>4</v>
      </c>
      <c r="K546" s="1312" t="e">
        <f t="shared" ca="1" si="14"/>
        <v>#NAME?</v>
      </c>
      <c r="L546" s="1315" t="e">
        <f ca="1">+K546*I546*VLOOKUP(H546,'Factores Emisión EDGE'!$K$267:$L$272,2,FALSE)/1000</f>
        <v>#NAME?</v>
      </c>
      <c r="M546" s="1312"/>
      <c r="N546" s="1312"/>
      <c r="O546" s="1312"/>
      <c r="P546" s="1312"/>
      <c r="Q546" s="1310" t="s">
        <v>1960</v>
      </c>
    </row>
    <row r="547" spans="1:17">
      <c r="A547" s="1314">
        <v>44651.747521134261</v>
      </c>
      <c r="B547" s="1310" t="s">
        <v>2972</v>
      </c>
      <c r="C547" s="1310">
        <v>133118268</v>
      </c>
      <c r="D547" s="1310" t="s">
        <v>2066</v>
      </c>
      <c r="E547" s="1310" t="s">
        <v>868</v>
      </c>
      <c r="F547" s="1310" t="e">
        <f t="array" aca="1" ref="F547" ca="1">+_xludf.IFS(E547="50% teletrabajo",0.5, E547="25% teletrabajo",0.75,E547="75% teletrabajo",0.25,E547="100% teletrabajo",0,E547="100% trabajo presencial",1)</f>
        <v>#NAME?</v>
      </c>
      <c r="G547" s="1310" t="s">
        <v>1952</v>
      </c>
      <c r="H547" s="1310" t="e">
        <f t="array" aca="1" ref="H547" ca="1">+_xludf.IFS(G547="Vehículo - Uso individual","Auto",G547="Vehículo - Uso compartido","Auto",G547="Transporte público","Bus",G547="Moto","Moto",G547="Bicicleta o caminando","Bicicleta")</f>
        <v>#NAME?</v>
      </c>
      <c r="I547" s="1310">
        <v>1</v>
      </c>
      <c r="J547" s="1310">
        <v>20</v>
      </c>
      <c r="K547" s="1312" t="e">
        <f t="shared" ca="1" si="14"/>
        <v>#NAME?</v>
      </c>
      <c r="L547" s="1315" t="e">
        <f ca="1">+K547*I547*VLOOKUP(H547,'Factores Emisión EDGE'!$K$267:$L$272,2,FALSE)/1000</f>
        <v>#NAME?</v>
      </c>
      <c r="M547" s="1312"/>
      <c r="N547" s="1312"/>
      <c r="O547" s="1312"/>
      <c r="P547" s="1312"/>
      <c r="Q547" s="1310" t="s">
        <v>1965</v>
      </c>
    </row>
    <row r="548" spans="1:17">
      <c r="A548" s="1314">
        <v>44651.752609571762</v>
      </c>
      <c r="B548" s="1310" t="s">
        <v>2973</v>
      </c>
      <c r="C548" s="1310" t="s">
        <v>2974</v>
      </c>
      <c r="D548" s="1310" t="s">
        <v>2066</v>
      </c>
      <c r="E548" s="1310" t="s">
        <v>868</v>
      </c>
      <c r="F548" s="1310" t="e">
        <f t="array" aca="1" ref="F548" ca="1">+_xludf.IFS(E548="50% teletrabajo",0.5, E548="25% teletrabajo",0.75,E548="75% teletrabajo",0.25,E548="100% teletrabajo",0,E548="100% trabajo presencial",1)</f>
        <v>#NAME?</v>
      </c>
      <c r="G548" s="1310" t="s">
        <v>1952</v>
      </c>
      <c r="H548" s="1310" t="e">
        <f t="array" aca="1" ref="H548" ca="1">+_xludf.IFS(G548="Vehículo - Uso individual","Auto",G548="Vehículo - Uso compartido","Auto",G548="Transporte público","Bus",G548="Moto","Moto",G548="Bicicleta o caminando","Bicicleta")</f>
        <v>#NAME?</v>
      </c>
      <c r="I548" s="1310">
        <v>1</v>
      </c>
      <c r="J548" s="1310">
        <v>92</v>
      </c>
      <c r="K548" s="1312" t="e">
        <f t="shared" ca="1" si="14"/>
        <v>#NAME?</v>
      </c>
      <c r="L548" s="1315" t="e">
        <f ca="1">+K548*I548*VLOOKUP(H548,'Factores Emisión EDGE'!$K$267:$L$272,2,FALSE)/1000</f>
        <v>#NAME?</v>
      </c>
      <c r="M548" s="1312"/>
      <c r="N548" s="1312"/>
      <c r="O548" s="1312"/>
      <c r="P548" s="1312"/>
      <c r="Q548" s="1312"/>
    </row>
    <row r="549" spans="1:17">
      <c r="A549" s="1314">
        <v>44651.768993981481</v>
      </c>
      <c r="B549" s="1310" t="s">
        <v>2975</v>
      </c>
      <c r="C549" s="1310" t="s">
        <v>2976</v>
      </c>
      <c r="D549" s="1310" t="s">
        <v>2066</v>
      </c>
      <c r="E549" s="1310" t="s">
        <v>1955</v>
      </c>
      <c r="F549" s="1310" t="e">
        <f t="array" aca="1" ref="F549" ca="1">+_xludf.IFS(E549="50% teletrabajo",0.5, E549="25% teletrabajo",0.75,E549="75% teletrabajo",0.25,E549="100% teletrabajo",0,E549="100% trabajo presencial",1)</f>
        <v>#NAME?</v>
      </c>
      <c r="G549" s="1310" t="s">
        <v>1952</v>
      </c>
      <c r="H549" s="1310" t="e">
        <f t="array" aca="1" ref="H549" ca="1">+_xludf.IFS(G549="Vehículo - Uso individual","Auto",G549="Vehículo - Uso compartido","Auto",G549="Transporte público","Bus",G549="Moto","Moto",G549="Bicicleta o caminando","Bicicleta")</f>
        <v>#NAME?</v>
      </c>
      <c r="I549" s="1310">
        <v>1</v>
      </c>
      <c r="J549" s="1310">
        <v>300</v>
      </c>
      <c r="K549" s="1312" t="e">
        <f ca="1">+J549*F549</f>
        <v>#NAME?</v>
      </c>
      <c r="L549" s="1315" t="e">
        <f ca="1">+K549*I549*VLOOKUP(H549,'Factores Emisión EDGE'!$K$267:$L$272,2,FALSE)/1000</f>
        <v>#NAME?</v>
      </c>
      <c r="M549" s="1312"/>
      <c r="N549" s="1312"/>
      <c r="O549" s="1312"/>
      <c r="P549" s="1312"/>
      <c r="Q549" s="1312"/>
    </row>
    <row r="550" spans="1:17">
      <c r="A550" s="1314">
        <v>44651.774731064812</v>
      </c>
      <c r="B550" s="1310" t="s">
        <v>2977</v>
      </c>
      <c r="C550" s="1310" t="s">
        <v>2978</v>
      </c>
      <c r="D550" s="1310" t="s">
        <v>2066</v>
      </c>
      <c r="E550" s="1310" t="s">
        <v>868</v>
      </c>
      <c r="F550" s="1310" t="e">
        <f t="array" aca="1" ref="F550" ca="1">+_xludf.IFS(E550="50% teletrabajo",0.5, E550="25% teletrabajo",0.75,E550="75% teletrabajo",0.25,E550="100% teletrabajo",0,E550="100% trabajo presencial",1)</f>
        <v>#NAME?</v>
      </c>
      <c r="G550" s="1310" t="s">
        <v>1964</v>
      </c>
      <c r="H550" s="1310" t="e">
        <f t="array" aca="1" ref="H550" ca="1">+_xludf.IFS(G550="Vehículo - Uso individual","Auto",G550="Vehículo - Uso compartido","Auto",G550="Transporte público","Bus",G550="Moto","Moto",G550="Bicicleta o caminando","Bicicleta")</f>
        <v>#NAME?</v>
      </c>
      <c r="I550" s="1310">
        <v>1</v>
      </c>
      <c r="J550" s="1312"/>
      <c r="K550" s="1312" t="e">
        <f t="shared" ref="K550:K582" ca="1" si="15">+J550*5*50*2*F550</f>
        <v>#NAME?</v>
      </c>
      <c r="L550" s="1315" t="e">
        <f ca="1">+K550*I550*VLOOKUP(H550,'Factores Emisión EDGE'!$K$267:$L$272,2,FALSE)/1000</f>
        <v>#NAME?</v>
      </c>
      <c r="M550" s="1312"/>
      <c r="N550" s="1312"/>
      <c r="O550" s="1312"/>
      <c r="P550" s="1312"/>
      <c r="Q550" s="1312"/>
    </row>
    <row r="551" spans="1:17">
      <c r="A551" s="1314">
        <v>44651.779221701392</v>
      </c>
      <c r="B551" s="1310" t="s">
        <v>2979</v>
      </c>
      <c r="C551" s="1310" t="s">
        <v>2980</v>
      </c>
      <c r="D551" s="1310" t="s">
        <v>2066</v>
      </c>
      <c r="E551" s="1310" t="s">
        <v>868</v>
      </c>
      <c r="F551" s="1310" t="e">
        <f t="array" aca="1" ref="F551" ca="1">+_xludf.IFS(E551="50% teletrabajo",0.5, E551="25% teletrabajo",0.75,E551="75% teletrabajo",0.25,E551="100% teletrabajo",0,E551="100% trabajo presencial",1)</f>
        <v>#NAME?</v>
      </c>
      <c r="G551" s="1310" t="s">
        <v>1952</v>
      </c>
      <c r="H551" s="1310" t="e">
        <f t="array" aca="1" ref="H551" ca="1">+_xludf.IFS(G551="Vehículo - Uso individual","Auto",G551="Vehículo - Uso compartido","Auto",G551="Transporte público","Bus",G551="Moto","Moto",G551="Bicicleta o caminando","Bicicleta")</f>
        <v>#NAME?</v>
      </c>
      <c r="I551" s="1310">
        <v>1</v>
      </c>
      <c r="J551" s="1310">
        <v>16</v>
      </c>
      <c r="K551" s="1312" t="e">
        <f t="shared" ca="1" si="15"/>
        <v>#NAME?</v>
      </c>
      <c r="L551" s="1315" t="e">
        <f ca="1">+K551*I551*VLOOKUP(H551,'Factores Emisión EDGE'!$K$267:$L$272,2,FALSE)/1000</f>
        <v>#NAME?</v>
      </c>
      <c r="M551" s="1312"/>
      <c r="N551" s="1312"/>
      <c r="O551" s="1312"/>
      <c r="P551" s="1312"/>
      <c r="Q551" s="1312"/>
    </row>
    <row r="552" spans="1:17">
      <c r="A552" s="1314">
        <v>44651.787852546295</v>
      </c>
      <c r="B552" s="1310" t="s">
        <v>2981</v>
      </c>
      <c r="C552" s="1310" t="s">
        <v>2982</v>
      </c>
      <c r="D552" s="1310" t="s">
        <v>1951</v>
      </c>
      <c r="E552" s="1310" t="s">
        <v>868</v>
      </c>
      <c r="F552" s="1310" t="e">
        <f t="array" aca="1" ref="F552" ca="1">+_xludf.IFS(E552="50% teletrabajo",0.5, E552="25% teletrabajo",0.75,E552="75% teletrabajo",0.25,E552="100% teletrabajo",0,E552="100% trabajo presencial",1)</f>
        <v>#NAME?</v>
      </c>
      <c r="G552" s="1310" t="s">
        <v>1995</v>
      </c>
      <c r="H552" s="1310" t="e">
        <f t="array" aca="1" ref="H552" ca="1">+_xludf.IFS(G552="Vehículo - Uso individual","Auto",G552="Vehículo - Uso compartido","Auto",G552="Transporte público","Bus",G552="Moto","Moto",G552="Bicicleta o caminando","Bicicleta")</f>
        <v>#NAME?</v>
      </c>
      <c r="I552" s="1312">
        <v>0.25</v>
      </c>
      <c r="J552" s="1310"/>
      <c r="K552" s="1312" t="e">
        <f t="shared" ca="1" si="15"/>
        <v>#NAME?</v>
      </c>
      <c r="L552" s="1315" t="e">
        <f ca="1">+K552*I552*VLOOKUP(H552,'Factores Emisión EDGE'!$K$267:$L$272,2,FALSE)/1000</f>
        <v>#NAME?</v>
      </c>
      <c r="M552" s="1312"/>
      <c r="N552" s="1312"/>
      <c r="O552" s="1312"/>
      <c r="P552" s="1312"/>
      <c r="Q552" s="1312"/>
    </row>
    <row r="553" spans="1:17">
      <c r="A553" s="1314">
        <v>44651.789013067129</v>
      </c>
      <c r="B553" s="1310" t="s">
        <v>2983</v>
      </c>
      <c r="C553" s="1310" t="s">
        <v>2984</v>
      </c>
      <c r="D553" s="1310" t="s">
        <v>2066</v>
      </c>
      <c r="E553" s="1310" t="s">
        <v>868</v>
      </c>
      <c r="F553" s="1310" t="e">
        <f t="array" aca="1" ref="F553" ca="1">+_xludf.IFS(E553="50% teletrabajo",0.5, E553="25% teletrabajo",0.75,E553="75% teletrabajo",0.25,E553="100% teletrabajo",0,E553="100% trabajo presencial",1)</f>
        <v>#NAME?</v>
      </c>
      <c r="G553" s="1310" t="s">
        <v>1995</v>
      </c>
      <c r="H553" s="1310" t="e">
        <f t="array" aca="1" ref="H553" ca="1">+_xludf.IFS(G553="Vehículo - Uso individual","Auto",G553="Vehículo - Uso compartido","Auto",G553="Transporte público","Bus",G553="Moto","Moto",G553="Bicicleta o caminando","Bicicleta")</f>
        <v>#NAME?</v>
      </c>
      <c r="I553" s="1312">
        <v>0.25</v>
      </c>
      <c r="J553" s="1310">
        <v>30</v>
      </c>
      <c r="K553" s="1312" t="e">
        <f t="shared" ca="1" si="15"/>
        <v>#NAME?</v>
      </c>
      <c r="L553" s="1315" t="e">
        <f ca="1">+K553*I553*VLOOKUP(H553,'Factores Emisión EDGE'!$K$267:$L$272,2,FALSE)/1000</f>
        <v>#NAME?</v>
      </c>
      <c r="M553" s="1312"/>
      <c r="N553" s="1312"/>
      <c r="O553" s="1312"/>
      <c r="P553" s="1312"/>
      <c r="Q553" s="1312"/>
    </row>
    <row r="554" spans="1:17">
      <c r="A554" s="1314">
        <v>44651.7892053588</v>
      </c>
      <c r="B554" s="1310" t="s">
        <v>2985</v>
      </c>
      <c r="C554" s="1310">
        <v>266194986</v>
      </c>
      <c r="D554" s="1310" t="s">
        <v>2066</v>
      </c>
      <c r="E554" s="1310" t="s">
        <v>868</v>
      </c>
      <c r="F554" s="1310" t="e">
        <f t="array" aca="1" ref="F554" ca="1">+_xludf.IFS(E554="50% teletrabajo",0.5, E554="25% teletrabajo",0.75,E554="75% teletrabajo",0.25,E554="100% teletrabajo",0,E554="100% trabajo presencial",1)</f>
        <v>#NAME?</v>
      </c>
      <c r="G554" s="1310" t="s">
        <v>1964</v>
      </c>
      <c r="H554" s="1310" t="e">
        <f t="array" aca="1" ref="H554" ca="1">+_xludf.IFS(G554="Vehículo - Uso individual","Auto",G554="Vehículo - Uso compartido","Auto",G554="Transporte público","Bus",G554="Moto","Moto",G554="Bicicleta o caminando","Bicicleta")</f>
        <v>#NAME?</v>
      </c>
      <c r="I554" s="1310">
        <v>1</v>
      </c>
      <c r="J554" s="1310">
        <v>20</v>
      </c>
      <c r="K554" s="1312" t="e">
        <f t="shared" ca="1" si="15"/>
        <v>#NAME?</v>
      </c>
      <c r="L554" s="1315" t="e">
        <f ca="1">+K554*I554*VLOOKUP(H554,'Factores Emisión EDGE'!$K$267:$L$272,2,FALSE)/1000</f>
        <v>#NAME?</v>
      </c>
      <c r="M554" s="1312"/>
      <c r="N554" s="1312"/>
      <c r="O554" s="1312"/>
      <c r="P554" s="1312"/>
      <c r="Q554" s="1312"/>
    </row>
    <row r="555" spans="1:17">
      <c r="A555" s="1314">
        <v>44651.790805486111</v>
      </c>
      <c r="B555" s="1310" t="s">
        <v>2986</v>
      </c>
      <c r="C555" s="1310" t="s">
        <v>2987</v>
      </c>
      <c r="D555" s="1310" t="s">
        <v>2066</v>
      </c>
      <c r="E555" s="1310" t="s">
        <v>868</v>
      </c>
      <c r="F555" s="1310" t="e">
        <f t="array" aca="1" ref="F555" ca="1">+_xludf.IFS(E555="50% teletrabajo",0.5, E555="25% teletrabajo",0.75,E555="75% teletrabajo",0.25,E555="100% teletrabajo",0,E555="100% trabajo presencial",1)</f>
        <v>#NAME?</v>
      </c>
      <c r="G555" s="1310" t="s">
        <v>1964</v>
      </c>
      <c r="H555" s="1310" t="e">
        <f t="array" aca="1" ref="H555" ca="1">+_xludf.IFS(G555="Vehículo - Uso individual","Auto",G555="Vehículo - Uso compartido","Auto",G555="Transporte público","Bus",G555="Moto","Moto",G555="Bicicleta o caminando","Bicicleta")</f>
        <v>#NAME?</v>
      </c>
      <c r="I555" s="1310">
        <v>1</v>
      </c>
      <c r="J555" s="1310">
        <v>5</v>
      </c>
      <c r="K555" s="1312" t="e">
        <f t="shared" ca="1" si="15"/>
        <v>#NAME?</v>
      </c>
      <c r="L555" s="1315" t="e">
        <f ca="1">+K555*I555*VLOOKUP(H555,'Factores Emisión EDGE'!$K$267:$L$272,2,FALSE)/1000</f>
        <v>#NAME?</v>
      </c>
      <c r="M555" s="1312"/>
      <c r="N555" s="1312"/>
      <c r="O555" s="1312"/>
      <c r="P555" s="1312"/>
      <c r="Q555" s="1312"/>
    </row>
    <row r="556" spans="1:17">
      <c r="A556" s="1314">
        <v>44651.792408067129</v>
      </c>
      <c r="B556" s="1310" t="s">
        <v>2988</v>
      </c>
      <c r="C556" s="1310" t="s">
        <v>2989</v>
      </c>
      <c r="D556" s="1310" t="s">
        <v>2066</v>
      </c>
      <c r="E556" s="1310" t="s">
        <v>868</v>
      </c>
      <c r="F556" s="1310" t="e">
        <f t="array" aca="1" ref="F556" ca="1">+_xludf.IFS(E556="50% teletrabajo",0.5, E556="25% teletrabajo",0.75,E556="75% teletrabajo",0.25,E556="100% teletrabajo",0,E556="100% trabajo presencial",1)</f>
        <v>#NAME?</v>
      </c>
      <c r="G556" s="1310" t="s">
        <v>1964</v>
      </c>
      <c r="H556" s="1310" t="e">
        <f t="array" aca="1" ref="H556" ca="1">+_xludf.IFS(G556="Vehículo - Uso individual","Auto",G556="Vehículo - Uso compartido","Auto",G556="Transporte público","Bus",G556="Moto","Moto",G556="Bicicleta o caminando","Bicicleta")</f>
        <v>#NAME?</v>
      </c>
      <c r="I556" s="1310">
        <v>1</v>
      </c>
      <c r="J556" s="1310">
        <v>10</v>
      </c>
      <c r="K556" s="1312" t="e">
        <f t="shared" ca="1" si="15"/>
        <v>#NAME?</v>
      </c>
      <c r="L556" s="1315" t="e">
        <f ca="1">+K556*I556*VLOOKUP(H556,'Factores Emisión EDGE'!$K$267:$L$272,2,FALSE)/1000</f>
        <v>#NAME?</v>
      </c>
      <c r="M556" s="1312"/>
      <c r="N556" s="1312"/>
      <c r="O556" s="1312"/>
      <c r="P556" s="1312"/>
      <c r="Q556" s="1312"/>
    </row>
    <row r="557" spans="1:17">
      <c r="A557" s="1314">
        <v>44651.794134131946</v>
      </c>
      <c r="B557" s="1310" t="s">
        <v>2990</v>
      </c>
      <c r="C557" s="1310" t="s">
        <v>2991</v>
      </c>
      <c r="D557" s="1310" t="s">
        <v>2066</v>
      </c>
      <c r="E557" s="1310" t="s">
        <v>868</v>
      </c>
      <c r="F557" s="1310" t="e">
        <f t="array" aca="1" ref="F557" ca="1">+_xludf.IFS(E557="50% teletrabajo",0.5, E557="25% teletrabajo",0.75,E557="75% teletrabajo",0.25,E557="100% teletrabajo",0,E557="100% trabajo presencial",1)</f>
        <v>#NAME?</v>
      </c>
      <c r="G557" s="1310" t="s">
        <v>1952</v>
      </c>
      <c r="H557" s="1310" t="e">
        <f t="array" aca="1" ref="H557" ca="1">+_xludf.IFS(G557="Vehículo - Uso individual","Auto",G557="Vehículo - Uso compartido","Auto",G557="Transporte público","Bus",G557="Moto","Moto",G557="Bicicleta o caminando","Bicicleta")</f>
        <v>#NAME?</v>
      </c>
      <c r="I557" s="1310">
        <v>1</v>
      </c>
      <c r="J557" s="1310">
        <v>27</v>
      </c>
      <c r="K557" s="1312" t="e">
        <f t="shared" ca="1" si="15"/>
        <v>#NAME?</v>
      </c>
      <c r="L557" s="1315" t="e">
        <f ca="1">+K557*I557*VLOOKUP(H557,'Factores Emisión EDGE'!$K$267:$L$272,2,FALSE)/1000</f>
        <v>#NAME?</v>
      </c>
      <c r="M557" s="1312"/>
      <c r="N557" s="1312"/>
      <c r="O557" s="1312"/>
      <c r="P557" s="1312"/>
      <c r="Q557" s="1312"/>
    </row>
    <row r="558" spans="1:17">
      <c r="A558" s="1314">
        <v>44651.806183923611</v>
      </c>
      <c r="B558" s="1310" t="s">
        <v>2992</v>
      </c>
      <c r="C558" s="1310" t="s">
        <v>2993</v>
      </c>
      <c r="D558" s="1310" t="s">
        <v>2066</v>
      </c>
      <c r="E558" s="1310" t="s">
        <v>868</v>
      </c>
      <c r="F558" s="1310" t="e">
        <f t="array" aca="1" ref="F558" ca="1">+_xludf.IFS(E558="50% teletrabajo",0.5, E558="25% teletrabajo",0.75,E558="75% teletrabajo",0.25,E558="100% teletrabajo",0,E558="100% trabajo presencial",1)</f>
        <v>#NAME?</v>
      </c>
      <c r="G558" s="1310" t="s">
        <v>1995</v>
      </c>
      <c r="H558" s="1310" t="e">
        <f t="array" aca="1" ref="H558" ca="1">+_xludf.IFS(G558="Vehículo - Uso individual","Auto",G558="Vehículo - Uso compartido","Auto",G558="Transporte público","Bus",G558="Moto","Moto",G558="Bicicleta o caminando","Bicicleta")</f>
        <v>#NAME?</v>
      </c>
      <c r="I558" s="1312">
        <v>0.25</v>
      </c>
      <c r="J558" s="1310">
        <v>10</v>
      </c>
      <c r="K558" s="1312" t="e">
        <f t="shared" ca="1" si="15"/>
        <v>#NAME?</v>
      </c>
      <c r="L558" s="1315" t="e">
        <f ca="1">+K558*I558*VLOOKUP(H558,'Factores Emisión EDGE'!$K$267:$L$272,2,FALSE)/1000</f>
        <v>#NAME?</v>
      </c>
      <c r="M558" s="1312"/>
      <c r="N558" s="1312"/>
      <c r="O558" s="1312"/>
      <c r="P558" s="1312"/>
      <c r="Q558" s="1312"/>
    </row>
    <row r="559" spans="1:17">
      <c r="A559" s="1314">
        <v>44651.81261922454</v>
      </c>
      <c r="B559" s="1310" t="s">
        <v>2994</v>
      </c>
      <c r="C559" s="1310" t="s">
        <v>2995</v>
      </c>
      <c r="D559" s="1310" t="s">
        <v>2066</v>
      </c>
      <c r="E559" s="1310" t="s">
        <v>868</v>
      </c>
      <c r="F559" s="1310" t="e">
        <f t="array" aca="1" ref="F559" ca="1">+_xludf.IFS(E559="50% teletrabajo",0.5, E559="25% teletrabajo",0.75,E559="75% teletrabajo",0.25,E559="100% teletrabajo",0,E559="100% trabajo presencial",1)</f>
        <v>#NAME?</v>
      </c>
      <c r="G559" s="1310" t="s">
        <v>1995</v>
      </c>
      <c r="H559" s="1310" t="e">
        <f t="array" aca="1" ref="H559" ca="1">+_xludf.IFS(G559="Vehículo - Uso individual","Auto",G559="Vehículo - Uso compartido","Auto",G559="Transporte público","Bus",G559="Moto","Moto",G559="Bicicleta o caminando","Bicicleta")</f>
        <v>#NAME?</v>
      </c>
      <c r="I559" s="1312">
        <v>0.25</v>
      </c>
      <c r="J559" s="1310">
        <v>15</v>
      </c>
      <c r="K559" s="1312" t="e">
        <f t="shared" ca="1" si="15"/>
        <v>#NAME?</v>
      </c>
      <c r="L559" s="1315" t="e">
        <f ca="1">+K559*I559*VLOOKUP(H559,'Factores Emisión EDGE'!$K$267:$L$272,2,FALSE)/1000</f>
        <v>#NAME?</v>
      </c>
      <c r="M559" s="1312"/>
      <c r="N559" s="1312"/>
      <c r="O559" s="1312"/>
      <c r="P559" s="1312"/>
      <c r="Q559" s="1312"/>
    </row>
    <row r="560" spans="1:17">
      <c r="A560" s="1314">
        <v>44651.830860868053</v>
      </c>
      <c r="B560" s="1310" t="s">
        <v>2996</v>
      </c>
      <c r="C560" s="1310">
        <v>119366143</v>
      </c>
      <c r="D560" s="1310" t="s">
        <v>2066</v>
      </c>
      <c r="E560" s="1310" t="s">
        <v>868</v>
      </c>
      <c r="F560" s="1310" t="e">
        <f t="array" aca="1" ref="F560" ca="1">+_xludf.IFS(E560="50% teletrabajo",0.5, E560="25% teletrabajo",0.75,E560="75% teletrabajo",0.25,E560="100% teletrabajo",0,E560="100% trabajo presencial",1)</f>
        <v>#NAME?</v>
      </c>
      <c r="G560" s="1310" t="s">
        <v>1995</v>
      </c>
      <c r="H560" s="1310" t="e">
        <f t="array" aca="1" ref="H560" ca="1">+_xludf.IFS(G560="Vehículo - Uso individual","Auto",G560="Vehículo - Uso compartido","Auto",G560="Transporte público","Bus",G560="Moto","Moto",G560="Bicicleta o caminando","Bicicleta")</f>
        <v>#NAME?</v>
      </c>
      <c r="I560" s="1312">
        <v>0.25</v>
      </c>
      <c r="J560" s="1310">
        <v>13</v>
      </c>
      <c r="K560" s="1312" t="e">
        <f t="shared" ca="1" si="15"/>
        <v>#NAME?</v>
      </c>
      <c r="L560" s="1315" t="e">
        <f ca="1">+K560*I560*VLOOKUP(H560,'Factores Emisión EDGE'!$K$267:$L$272,2,FALSE)/1000</f>
        <v>#NAME?</v>
      </c>
      <c r="M560" s="1312"/>
      <c r="N560" s="1312"/>
      <c r="O560" s="1312"/>
      <c r="P560" s="1312"/>
      <c r="Q560" s="1312"/>
    </row>
    <row r="561" spans="1:12">
      <c r="A561" s="1314">
        <v>44651.831165011579</v>
      </c>
      <c r="B561" s="1312"/>
      <c r="C561" s="1312"/>
      <c r="D561" s="1310" t="s">
        <v>2066</v>
      </c>
      <c r="E561" s="1310" t="s">
        <v>868</v>
      </c>
      <c r="F561" s="1310" t="e">
        <f t="array" aca="1" ref="F561" ca="1">+_xludf.IFS(E561="50% teletrabajo",0.5, E561="25% teletrabajo",0.75,E561="75% teletrabajo",0.25,E561="100% teletrabajo",0,E561="100% trabajo presencial",1)</f>
        <v>#NAME?</v>
      </c>
      <c r="G561" s="1310" t="s">
        <v>1995</v>
      </c>
      <c r="H561" s="1310" t="e">
        <f t="array" aca="1" ref="H561" ca="1">+_xludf.IFS(G561="Vehículo - Uso individual","Auto",G561="Vehículo - Uso compartido","Auto",G561="Transporte público","Bus",G561="Moto","Moto",G561="Bicicleta o caminando","Bicicleta")</f>
        <v>#NAME?</v>
      </c>
      <c r="I561" s="1312">
        <v>0.25</v>
      </c>
      <c r="J561" s="1310">
        <v>13</v>
      </c>
      <c r="K561" s="1312" t="e">
        <f t="shared" ca="1" si="15"/>
        <v>#NAME?</v>
      </c>
      <c r="L561" s="1315" t="e">
        <f ca="1">+K561*I561*VLOOKUP(H561,'Factores Emisión EDGE'!$K$267:$L$272,2,FALSE)/1000</f>
        <v>#NAME?</v>
      </c>
    </row>
    <row r="562" spans="1:12">
      <c r="A562" s="1314">
        <v>44651.845891770834</v>
      </c>
      <c r="B562" s="1310" t="s">
        <v>2865</v>
      </c>
      <c r="C562" s="1310">
        <v>266746482</v>
      </c>
      <c r="D562" s="1310" t="s">
        <v>1951</v>
      </c>
      <c r="E562" s="1310" t="s">
        <v>868</v>
      </c>
      <c r="F562" s="1310" t="e">
        <f t="array" aca="1" ref="F562" ca="1">+_xludf.IFS(E562="50% teletrabajo",0.5, E562="25% teletrabajo",0.75,E562="75% teletrabajo",0.25,E562="100% teletrabajo",0,E562="100% trabajo presencial",1)</f>
        <v>#NAME?</v>
      </c>
      <c r="G562" s="1310" t="s">
        <v>1952</v>
      </c>
      <c r="H562" s="1310" t="e">
        <f t="array" aca="1" ref="H562" ca="1">+_xludf.IFS(G562="Vehículo - Uso individual","Auto",G562="Vehículo - Uso compartido","Auto",G562="Transporte público","Bus",G562="Moto","Moto",G562="Bicicleta o caminando","Bicicleta")</f>
        <v>#NAME?</v>
      </c>
      <c r="I562" s="1310">
        <v>1</v>
      </c>
      <c r="J562" s="1310">
        <v>5</v>
      </c>
      <c r="K562" s="1312" t="e">
        <f t="shared" ca="1" si="15"/>
        <v>#NAME?</v>
      </c>
      <c r="L562" s="1315" t="e">
        <f ca="1">+K562*I562*VLOOKUP(H562,'Factores Emisión EDGE'!$K$267:$L$272,2,FALSE)/1000</f>
        <v>#NAME?</v>
      </c>
    </row>
    <row r="563" spans="1:12">
      <c r="A563" s="1314">
        <v>44651.847955138888</v>
      </c>
      <c r="B563" s="1310" t="s">
        <v>2997</v>
      </c>
      <c r="C563" s="1310" t="s">
        <v>2998</v>
      </c>
      <c r="D563" s="1310" t="s">
        <v>2066</v>
      </c>
      <c r="E563" s="1310" t="s">
        <v>868</v>
      </c>
      <c r="F563" s="1310" t="e">
        <f t="array" aca="1" ref="F563" ca="1">+_xludf.IFS(E563="50% teletrabajo",0.5, E563="25% teletrabajo",0.75,E563="75% teletrabajo",0.25,E563="100% teletrabajo",0,E563="100% trabajo presencial",1)</f>
        <v>#NAME?</v>
      </c>
      <c r="G563" s="1310" t="s">
        <v>1983</v>
      </c>
      <c r="H563" s="1310" t="e">
        <f t="array" aca="1" ref="H563" ca="1">+_xludf.IFS(G563="Vehículo - Uso individual","Auto",G563="Vehículo - Uso compartido","Auto",G563="Transporte público","Bus",G563="Moto","Moto",G563="Bicicleta o caminando","Bicicleta")</f>
        <v>#NAME?</v>
      </c>
      <c r="I563" s="1310">
        <v>1</v>
      </c>
      <c r="J563" s="1310">
        <v>4</v>
      </c>
      <c r="K563" s="1312" t="e">
        <f t="shared" ca="1" si="15"/>
        <v>#NAME?</v>
      </c>
      <c r="L563" s="1315" t="e">
        <f ca="1">+K563*I563*VLOOKUP(H563,'Factores Emisión EDGE'!$K$267:$L$272,2,FALSE)/1000</f>
        <v>#NAME?</v>
      </c>
    </row>
    <row r="564" spans="1:12">
      <c r="A564" s="1314">
        <v>44651.853713969904</v>
      </c>
      <c r="B564" s="1310" t="s">
        <v>2999</v>
      </c>
      <c r="C564" s="1310">
        <v>118649672</v>
      </c>
      <c r="D564" s="1310" t="s">
        <v>2066</v>
      </c>
      <c r="E564" s="1310" t="s">
        <v>868</v>
      </c>
      <c r="F564" s="1310" t="e">
        <f t="array" aca="1" ref="F564" ca="1">+_xludf.IFS(E564="50% teletrabajo",0.5, E564="25% teletrabajo",0.75,E564="75% teletrabajo",0.25,E564="100% teletrabajo",0,E564="100% trabajo presencial",1)</f>
        <v>#NAME?</v>
      </c>
      <c r="G564" s="1310" t="s">
        <v>1995</v>
      </c>
      <c r="H564" s="1310" t="e">
        <f t="array" aca="1" ref="H564" ca="1">+_xludf.IFS(G564="Vehículo - Uso individual","Auto",G564="Vehículo - Uso compartido","Auto",G564="Transporte público","Bus",G564="Moto","Moto",G564="Bicicleta o caminando","Bicicleta")</f>
        <v>#NAME?</v>
      </c>
      <c r="I564" s="1312">
        <v>0.25</v>
      </c>
      <c r="J564" s="1310">
        <v>20</v>
      </c>
      <c r="K564" s="1312" t="e">
        <f t="shared" ca="1" si="15"/>
        <v>#NAME?</v>
      </c>
      <c r="L564" s="1315" t="e">
        <f ca="1">+K564*I564*VLOOKUP(H564,'Factores Emisión EDGE'!$K$267:$L$272,2,FALSE)/1000</f>
        <v>#NAME?</v>
      </c>
    </row>
    <row r="565" spans="1:12">
      <c r="A565" s="1314">
        <v>44651.854875810182</v>
      </c>
      <c r="B565" s="1310" t="s">
        <v>3000</v>
      </c>
      <c r="C565" s="1310">
        <v>273625127</v>
      </c>
      <c r="D565" s="1310" t="s">
        <v>2066</v>
      </c>
      <c r="E565" s="1310" t="s">
        <v>868</v>
      </c>
      <c r="F565" s="1310" t="e">
        <f t="array" aca="1" ref="F565" ca="1">+_xludf.IFS(E565="50% teletrabajo",0.5, E565="25% teletrabajo",0.75,E565="75% teletrabajo",0.25,E565="100% teletrabajo",0,E565="100% trabajo presencial",1)</f>
        <v>#NAME?</v>
      </c>
      <c r="G565" s="1310" t="s">
        <v>1964</v>
      </c>
      <c r="H565" s="1310" t="e">
        <f t="array" aca="1" ref="H565" ca="1">+_xludf.IFS(G565="Vehículo - Uso individual","Auto",G565="Vehículo - Uso compartido","Auto",G565="Transporte público","Bus",G565="Moto","Moto",G565="Bicicleta o caminando","Bicicleta")</f>
        <v>#NAME?</v>
      </c>
      <c r="I565" s="1310">
        <v>1</v>
      </c>
      <c r="J565" s="1310">
        <v>100</v>
      </c>
      <c r="K565" s="1312" t="e">
        <f t="shared" ca="1" si="15"/>
        <v>#NAME?</v>
      </c>
      <c r="L565" s="1315" t="e">
        <f ca="1">+K565*I565*VLOOKUP(H565,'Factores Emisión EDGE'!$K$267:$L$272,2,FALSE)/1000</f>
        <v>#NAME?</v>
      </c>
    </row>
    <row r="566" spans="1:12">
      <c r="A566" s="1314">
        <v>44651.865391458334</v>
      </c>
      <c r="B566" s="1310" t="s">
        <v>3001</v>
      </c>
      <c r="C566" s="1310" t="s">
        <v>3002</v>
      </c>
      <c r="D566" s="1310" t="s">
        <v>2066</v>
      </c>
      <c r="E566" s="1310" t="s">
        <v>868</v>
      </c>
      <c r="F566" s="1310" t="e">
        <f t="array" aca="1" ref="F566" ca="1">+_xludf.IFS(E566="50% teletrabajo",0.5, E566="25% teletrabajo",0.75,E566="75% teletrabajo",0.25,E566="100% teletrabajo",0,E566="100% trabajo presencial",1)</f>
        <v>#NAME?</v>
      </c>
      <c r="G566" s="1310" t="s">
        <v>1952</v>
      </c>
      <c r="H566" s="1310" t="e">
        <f t="array" aca="1" ref="H566" ca="1">+_xludf.IFS(G566="Vehículo - Uso individual","Auto",G566="Vehículo - Uso compartido","Auto",G566="Transporte público","Bus",G566="Moto","Moto",G566="Bicicleta o caminando","Bicicleta")</f>
        <v>#NAME?</v>
      </c>
      <c r="I566" s="1310">
        <v>1</v>
      </c>
      <c r="J566" s="1310">
        <v>80</v>
      </c>
      <c r="K566" s="1312" t="e">
        <f t="shared" ca="1" si="15"/>
        <v>#NAME?</v>
      </c>
      <c r="L566" s="1315" t="e">
        <f ca="1">+K566*I566*VLOOKUP(H566,'Factores Emisión EDGE'!$K$267:$L$272,2,FALSE)/1000</f>
        <v>#NAME?</v>
      </c>
    </row>
    <row r="567" spans="1:12">
      <c r="A567" s="1314">
        <v>44651.867630219909</v>
      </c>
      <c r="B567" s="1310" t="s">
        <v>3003</v>
      </c>
      <c r="C567" s="1310" t="s">
        <v>3004</v>
      </c>
      <c r="D567" s="1310" t="s">
        <v>1951</v>
      </c>
      <c r="E567" s="1310" t="s">
        <v>872</v>
      </c>
      <c r="F567" s="1310" t="e">
        <f t="array" aca="1" ref="F567" ca="1">+_xludf.IFS(E567="50% teletrabajo",0.5, E567="25% teletrabajo",0.75,E567="75% teletrabajo",0.25,E567="100% teletrabajo",0,E567="100% trabajo presencial",1)</f>
        <v>#NAME?</v>
      </c>
      <c r="G567" s="1310" t="s">
        <v>1952</v>
      </c>
      <c r="H567" s="1310" t="e">
        <f t="array" aca="1" ref="H567" ca="1">+_xludf.IFS(G567="Vehículo - Uso individual","Auto",G567="Vehículo - Uso compartido","Auto",G567="Transporte público","Bus",G567="Moto","Moto",G567="Bicicleta o caminando","Bicicleta")</f>
        <v>#NAME?</v>
      </c>
      <c r="I567" s="1310">
        <v>1</v>
      </c>
      <c r="J567" s="1310">
        <v>60</v>
      </c>
      <c r="K567" s="1312" t="e">
        <f t="shared" ca="1" si="15"/>
        <v>#NAME?</v>
      </c>
      <c r="L567" s="1315" t="e">
        <f ca="1">+K567*I567*VLOOKUP(H567,'Factores Emisión EDGE'!$K$267:$L$272,2,FALSE)/1000</f>
        <v>#NAME?</v>
      </c>
    </row>
    <row r="568" spans="1:12">
      <c r="A568" s="1314">
        <v>44651.87123099537</v>
      </c>
      <c r="B568" s="1310" t="s">
        <v>3005</v>
      </c>
      <c r="C568" s="1310" t="s">
        <v>3006</v>
      </c>
      <c r="D568" s="1310" t="s">
        <v>2066</v>
      </c>
      <c r="E568" s="1310" t="s">
        <v>868</v>
      </c>
      <c r="F568" s="1310" t="e">
        <f t="array" aca="1" ref="F568" ca="1">+_xludf.IFS(E568="50% teletrabajo",0.5, E568="25% teletrabajo",0.75,E568="75% teletrabajo",0.25,E568="100% teletrabajo",0,E568="100% trabajo presencial",1)</f>
        <v>#NAME?</v>
      </c>
      <c r="G568" s="1310" t="s">
        <v>1995</v>
      </c>
      <c r="H568" s="1310" t="e">
        <f t="array" aca="1" ref="H568" ca="1">+_xludf.IFS(G568="Vehículo - Uso individual","Auto",G568="Vehículo - Uso compartido","Auto",G568="Transporte público","Bus",G568="Moto","Moto",G568="Bicicleta o caminando","Bicicleta")</f>
        <v>#NAME?</v>
      </c>
      <c r="I568" s="1312">
        <v>0.25</v>
      </c>
      <c r="J568" s="1310">
        <v>10</v>
      </c>
      <c r="K568" s="1312" t="e">
        <f t="shared" ca="1" si="15"/>
        <v>#NAME?</v>
      </c>
      <c r="L568" s="1315" t="e">
        <f ca="1">+K568*I568*VLOOKUP(H568,'Factores Emisión EDGE'!$K$267:$L$272,2,FALSE)/1000</f>
        <v>#NAME?</v>
      </c>
    </row>
    <row r="569" spans="1:12">
      <c r="A569" s="1314">
        <v>44651.876290347223</v>
      </c>
      <c r="B569" s="1310" t="s">
        <v>3007</v>
      </c>
      <c r="C569" s="1310" t="s">
        <v>3008</v>
      </c>
      <c r="D569" s="1310" t="s">
        <v>1951</v>
      </c>
      <c r="E569" s="1310" t="s">
        <v>868</v>
      </c>
      <c r="F569" s="1310" t="e">
        <f t="array" aca="1" ref="F569" ca="1">+_xludf.IFS(E569="50% teletrabajo",0.5, E569="25% teletrabajo",0.75,E569="75% teletrabajo",0.25,E569="100% teletrabajo",0,E569="100% trabajo presencial",1)</f>
        <v>#NAME?</v>
      </c>
      <c r="G569" s="1310" t="s">
        <v>1964</v>
      </c>
      <c r="H569" s="1310" t="e">
        <f t="array" aca="1" ref="H569" ca="1">+_xludf.IFS(G569="Vehículo - Uso individual","Auto",G569="Vehículo - Uso compartido","Auto",G569="Transporte público","Bus",G569="Moto","Moto",G569="Bicicleta o caminando","Bicicleta")</f>
        <v>#NAME?</v>
      </c>
      <c r="I569" s="1310">
        <v>1</v>
      </c>
      <c r="J569" s="1310">
        <v>3</v>
      </c>
      <c r="K569" s="1312" t="e">
        <f t="shared" ca="1" si="15"/>
        <v>#NAME?</v>
      </c>
      <c r="L569" s="1315" t="e">
        <f ca="1">+K569*I569*VLOOKUP(H569,'Factores Emisión EDGE'!$K$267:$L$272,2,FALSE)/1000</f>
        <v>#NAME?</v>
      </c>
    </row>
    <row r="570" spans="1:12">
      <c r="A570" s="1314">
        <v>44651.888854259261</v>
      </c>
      <c r="B570" s="1310" t="s">
        <v>3009</v>
      </c>
      <c r="C570" s="1310" t="s">
        <v>3010</v>
      </c>
      <c r="D570" s="1310" t="s">
        <v>2066</v>
      </c>
      <c r="E570" s="1310" t="s">
        <v>868</v>
      </c>
      <c r="F570" s="1310" t="e">
        <f t="array" aca="1" ref="F570" ca="1">+_xludf.IFS(E570="50% teletrabajo",0.5, E570="25% teletrabajo",0.75,E570="75% teletrabajo",0.25,E570="100% teletrabajo",0,E570="100% trabajo presencial",1)</f>
        <v>#NAME?</v>
      </c>
      <c r="G570" s="1310" t="s">
        <v>1952</v>
      </c>
      <c r="H570" s="1310" t="e">
        <f t="array" aca="1" ref="H570" ca="1">+_xludf.IFS(G570="Vehículo - Uso individual","Auto",G570="Vehículo - Uso compartido","Auto",G570="Transporte público","Bus",G570="Moto","Moto",G570="Bicicleta o caminando","Bicicleta")</f>
        <v>#NAME?</v>
      </c>
      <c r="I570" s="1310">
        <v>1</v>
      </c>
      <c r="J570" s="1310">
        <v>26</v>
      </c>
      <c r="K570" s="1312" t="e">
        <f t="shared" ca="1" si="15"/>
        <v>#NAME?</v>
      </c>
      <c r="L570" s="1315" t="e">
        <f ca="1">+K570*I570*VLOOKUP(H570,'Factores Emisión EDGE'!$K$267:$L$272,2,FALSE)/1000</f>
        <v>#NAME?</v>
      </c>
    </row>
    <row r="571" spans="1:12">
      <c r="A571" s="1314">
        <v>44651.905029027781</v>
      </c>
      <c r="B571" s="1310" t="s">
        <v>3011</v>
      </c>
      <c r="C571" s="1310" t="s">
        <v>3012</v>
      </c>
      <c r="D571" s="1310" t="s">
        <v>2066</v>
      </c>
      <c r="E571" s="1310" t="s">
        <v>868</v>
      </c>
      <c r="F571" s="1310" t="e">
        <f t="array" aca="1" ref="F571" ca="1">+_xludf.IFS(E571="50% teletrabajo",0.5, E571="25% teletrabajo",0.75,E571="75% teletrabajo",0.25,E571="100% teletrabajo",0,E571="100% trabajo presencial",1)</f>
        <v>#NAME?</v>
      </c>
      <c r="G571" s="1310" t="s">
        <v>1952</v>
      </c>
      <c r="H571" s="1310" t="e">
        <f t="array" aca="1" ref="H571" ca="1">+_xludf.IFS(G571="Vehículo - Uso individual","Auto",G571="Vehículo - Uso compartido","Auto",G571="Transporte público","Bus",G571="Moto","Moto",G571="Bicicleta o caminando","Bicicleta")</f>
        <v>#NAME?</v>
      </c>
      <c r="I571" s="1310">
        <v>1</v>
      </c>
      <c r="J571" s="1310">
        <v>15</v>
      </c>
      <c r="K571" s="1312" t="e">
        <f t="shared" ca="1" si="15"/>
        <v>#NAME?</v>
      </c>
      <c r="L571" s="1315" t="e">
        <f ca="1">+K571*I571*VLOOKUP(H571,'Factores Emisión EDGE'!$K$267:$L$272,2,FALSE)/1000</f>
        <v>#NAME?</v>
      </c>
    </row>
    <row r="572" spans="1:12">
      <c r="A572" s="1314">
        <v>44651.963369363424</v>
      </c>
      <c r="B572" s="1310" t="s">
        <v>3013</v>
      </c>
      <c r="C572" s="1310">
        <v>253430443</v>
      </c>
      <c r="D572" s="1310" t="s">
        <v>2066</v>
      </c>
      <c r="E572" s="1310" t="s">
        <v>868</v>
      </c>
      <c r="F572" s="1310" t="e">
        <f t="array" aca="1" ref="F572" ca="1">+_xludf.IFS(E572="50% teletrabajo",0.5, E572="25% teletrabajo",0.75,E572="75% teletrabajo",0.25,E572="100% teletrabajo",0,E572="100% trabajo presencial",1)</f>
        <v>#NAME?</v>
      </c>
      <c r="G572" s="1310" t="s">
        <v>1964</v>
      </c>
      <c r="H572" s="1310" t="e">
        <f t="array" aca="1" ref="H572" ca="1">+_xludf.IFS(G572="Vehículo - Uso individual","Auto",G572="Vehículo - Uso compartido","Auto",G572="Transporte público","Bus",G572="Moto","Moto",G572="Bicicleta o caminando","Bicicleta")</f>
        <v>#NAME?</v>
      </c>
      <c r="I572" s="1310">
        <v>1</v>
      </c>
      <c r="J572" s="1310">
        <v>15</v>
      </c>
      <c r="K572" s="1312" t="e">
        <f t="shared" ca="1" si="15"/>
        <v>#NAME?</v>
      </c>
      <c r="L572" s="1315" t="e">
        <f ca="1">+K572*I572*VLOOKUP(H572,'Factores Emisión EDGE'!$K$267:$L$272,2,FALSE)/1000</f>
        <v>#NAME?</v>
      </c>
    </row>
    <row r="573" spans="1:12">
      <c r="A573" s="1314">
        <v>44652.010508252315</v>
      </c>
      <c r="B573" s="1310" t="s">
        <v>3014</v>
      </c>
      <c r="C573" s="1310">
        <v>195069212</v>
      </c>
      <c r="D573" s="1310" t="s">
        <v>2066</v>
      </c>
      <c r="E573" s="1310" t="s">
        <v>868</v>
      </c>
      <c r="F573" s="1310" t="e">
        <f t="array" aca="1" ref="F573" ca="1">+_xludf.IFS(E573="50% teletrabajo",0.5, E573="25% teletrabajo",0.75,E573="75% teletrabajo",0.25,E573="100% teletrabajo",0,E573="100% trabajo presencial",1)</f>
        <v>#NAME?</v>
      </c>
      <c r="G573" s="1310" t="s">
        <v>1952</v>
      </c>
      <c r="H573" s="1310" t="e">
        <f t="array" aca="1" ref="H573" ca="1">+_xludf.IFS(G573="Vehículo - Uso individual","Auto",G573="Vehículo - Uso compartido","Auto",G573="Transporte público","Bus",G573="Moto","Moto",G573="Bicicleta o caminando","Bicicleta")</f>
        <v>#NAME?</v>
      </c>
      <c r="I573" s="1310">
        <v>1</v>
      </c>
      <c r="J573" s="1310">
        <v>20</v>
      </c>
      <c r="K573" s="1312" t="e">
        <f t="shared" ca="1" si="15"/>
        <v>#NAME?</v>
      </c>
      <c r="L573" s="1315" t="e">
        <f ca="1">+K573*I573*VLOOKUP(H573,'Factores Emisión EDGE'!$K$267:$L$272,2,FALSE)/1000</f>
        <v>#NAME?</v>
      </c>
    </row>
    <row r="574" spans="1:12">
      <c r="A574" s="1314">
        <v>44652.07558099537</v>
      </c>
      <c r="B574" s="1310" t="s">
        <v>3015</v>
      </c>
      <c r="C574" s="1310" t="s">
        <v>3016</v>
      </c>
      <c r="D574" s="1310" t="s">
        <v>2066</v>
      </c>
      <c r="E574" s="1310" t="s">
        <v>868</v>
      </c>
      <c r="F574" s="1310" t="e">
        <f t="array" aca="1" ref="F574" ca="1">+_xludf.IFS(E574="50% teletrabajo",0.5, E574="25% teletrabajo",0.75,E574="75% teletrabajo",0.25,E574="100% teletrabajo",0,E574="100% trabajo presencial",1)</f>
        <v>#NAME?</v>
      </c>
      <c r="G574" s="1310" t="s">
        <v>1964</v>
      </c>
      <c r="H574" s="1310" t="e">
        <f t="array" aca="1" ref="H574" ca="1">+_xludf.IFS(G574="Vehículo - Uso individual","Auto",G574="Vehículo - Uso compartido","Auto",G574="Transporte público","Bus",G574="Moto","Moto",G574="Bicicleta o caminando","Bicicleta")</f>
        <v>#NAME?</v>
      </c>
      <c r="I574" s="1310">
        <v>1</v>
      </c>
      <c r="J574" s="1310"/>
      <c r="K574" s="1312" t="e">
        <f t="shared" ca="1" si="15"/>
        <v>#NAME?</v>
      </c>
      <c r="L574" s="1315" t="e">
        <f ca="1">+K574*I574*VLOOKUP(H574,'Factores Emisión EDGE'!$K$267:$L$272,2,FALSE)/1000</f>
        <v>#NAME?</v>
      </c>
    </row>
    <row r="575" spans="1:12">
      <c r="A575" s="1314">
        <v>44652.285450578704</v>
      </c>
      <c r="B575" s="1310" t="s">
        <v>3017</v>
      </c>
      <c r="C575" s="1310">
        <v>250197047</v>
      </c>
      <c r="D575" s="1310" t="s">
        <v>2066</v>
      </c>
      <c r="E575" s="1310" t="s">
        <v>868</v>
      </c>
      <c r="F575" s="1310" t="e">
        <f t="array" aca="1" ref="F575" ca="1">+_xludf.IFS(E575="50% teletrabajo",0.5, E575="25% teletrabajo",0.75,E575="75% teletrabajo",0.25,E575="100% teletrabajo",0,E575="100% trabajo presencial",1)</f>
        <v>#NAME?</v>
      </c>
      <c r="G575" s="1310" t="s">
        <v>1995</v>
      </c>
      <c r="H575" s="1310" t="e">
        <f t="array" aca="1" ref="H575" ca="1">+_xludf.IFS(G575="Vehículo - Uso individual","Auto",G575="Vehículo - Uso compartido","Auto",G575="Transporte público","Bus",G575="Moto","Moto",G575="Bicicleta o caminando","Bicicleta")</f>
        <v>#NAME?</v>
      </c>
      <c r="I575" s="1312">
        <v>0.25</v>
      </c>
      <c r="J575" s="1310">
        <v>4.5</v>
      </c>
      <c r="K575" s="1312" t="e">
        <f t="shared" ca="1" si="15"/>
        <v>#NAME?</v>
      </c>
      <c r="L575" s="1315" t="e">
        <f ca="1">+K575*I575*VLOOKUP(H575,'Factores Emisión EDGE'!$K$267:$L$272,2,FALSE)/1000</f>
        <v>#NAME?</v>
      </c>
    </row>
    <row r="576" spans="1:12">
      <c r="A576" s="1314">
        <v>44652.301318472222</v>
      </c>
      <c r="B576" s="1310" t="s">
        <v>3018</v>
      </c>
      <c r="C576" s="1310">
        <v>108407522</v>
      </c>
      <c r="D576" s="1310" t="s">
        <v>2066</v>
      </c>
      <c r="E576" s="1310" t="s">
        <v>868</v>
      </c>
      <c r="F576" s="1310" t="e">
        <f t="array" aca="1" ref="F576" ca="1">+_xludf.IFS(E576="50% teletrabajo",0.5, E576="25% teletrabajo",0.75,E576="75% teletrabajo",0.25,E576="100% teletrabajo",0,E576="100% trabajo presencial",1)</f>
        <v>#NAME?</v>
      </c>
      <c r="G576" s="1310" t="s">
        <v>1964</v>
      </c>
      <c r="H576" s="1310" t="e">
        <f t="array" aca="1" ref="H576" ca="1">+_xludf.IFS(G576="Vehículo - Uso individual","Auto",G576="Vehículo - Uso compartido","Auto",G576="Transporte público","Bus",G576="Moto","Moto",G576="Bicicleta o caminando","Bicicleta")</f>
        <v>#NAME?</v>
      </c>
      <c r="I576" s="1310">
        <v>1</v>
      </c>
      <c r="J576" s="1312"/>
      <c r="K576" s="1312" t="e">
        <f t="shared" ca="1" si="15"/>
        <v>#NAME?</v>
      </c>
      <c r="L576" s="1315" t="e">
        <f ca="1">+K576*I576*VLOOKUP(H576,'Factores Emisión EDGE'!$K$267:$L$272,2,FALSE)/1000</f>
        <v>#NAME?</v>
      </c>
    </row>
    <row r="577" spans="1:12">
      <c r="A577" s="1314">
        <v>44652.355281620374</v>
      </c>
      <c r="B577" s="1310" t="s">
        <v>3019</v>
      </c>
      <c r="C577" s="1310" t="s">
        <v>3020</v>
      </c>
      <c r="D577" s="1310" t="s">
        <v>1951</v>
      </c>
      <c r="E577" s="1310" t="s">
        <v>868</v>
      </c>
      <c r="F577" s="1310" t="e">
        <f t="array" aca="1" ref="F577" ca="1">+_xludf.IFS(E577="50% teletrabajo",0.5, E577="25% teletrabajo",0.75,E577="75% teletrabajo",0.25,E577="100% teletrabajo",0,E577="100% trabajo presencial",1)</f>
        <v>#NAME?</v>
      </c>
      <c r="G577" s="1310" t="s">
        <v>1983</v>
      </c>
      <c r="H577" s="1310" t="e">
        <f t="array" aca="1" ref="H577" ca="1">+_xludf.IFS(G577="Vehículo - Uso individual","Auto",G577="Vehículo - Uso compartido","Auto",G577="Transporte público","Bus",G577="Moto","Moto",G577="Bicicleta o caminando","Bicicleta")</f>
        <v>#NAME?</v>
      </c>
      <c r="I577" s="1310">
        <v>1</v>
      </c>
      <c r="J577" s="1310">
        <v>8</v>
      </c>
      <c r="K577" s="1312" t="e">
        <f t="shared" ca="1" si="15"/>
        <v>#NAME?</v>
      </c>
      <c r="L577" s="1315" t="e">
        <f ca="1">+K577*I577*VLOOKUP(H577,'Factores Emisión EDGE'!$K$267:$L$272,2,FALSE)/1000</f>
        <v>#NAME?</v>
      </c>
    </row>
    <row r="578" spans="1:12">
      <c r="A578" s="1314">
        <v>44652.405490740741</v>
      </c>
      <c r="B578" s="1310" t="s">
        <v>3021</v>
      </c>
      <c r="C578" s="1310" t="s">
        <v>3022</v>
      </c>
      <c r="D578" s="1310" t="s">
        <v>2066</v>
      </c>
      <c r="E578" s="1310" t="s">
        <v>868</v>
      </c>
      <c r="F578" s="1310" t="e">
        <f t="array" aca="1" ref="F578" ca="1">+_xludf.IFS(E578="50% teletrabajo",0.5, E578="25% teletrabajo",0.75,E578="75% teletrabajo",0.25,E578="100% teletrabajo",0,E578="100% trabajo presencial",1)</f>
        <v>#NAME?</v>
      </c>
      <c r="G578" s="1310" t="s">
        <v>1952</v>
      </c>
      <c r="H578" s="1310" t="e">
        <f t="array" aca="1" ref="H578" ca="1">+_xludf.IFS(G578="Vehículo - Uso individual","Auto",G578="Vehículo - Uso compartido","Auto",G578="Transporte público","Bus",G578="Moto","Moto",G578="Bicicleta o caminando","Bicicleta")</f>
        <v>#NAME?</v>
      </c>
      <c r="I578" s="1310">
        <v>1</v>
      </c>
      <c r="J578" s="1310">
        <v>15</v>
      </c>
      <c r="K578" s="1312" t="e">
        <f t="shared" ca="1" si="15"/>
        <v>#NAME?</v>
      </c>
      <c r="L578" s="1315" t="e">
        <f ca="1">+K578*I578*VLOOKUP(H578,'Factores Emisión EDGE'!$K$267:$L$272,2,FALSE)/1000</f>
        <v>#NAME?</v>
      </c>
    </row>
    <row r="579" spans="1:12">
      <c r="A579" s="1314">
        <v>44652.410594050925</v>
      </c>
      <c r="B579" s="1310" t="s">
        <v>3023</v>
      </c>
      <c r="C579" s="1310" t="s">
        <v>3024</v>
      </c>
      <c r="D579" s="1310" t="s">
        <v>1951</v>
      </c>
      <c r="E579" s="1310" t="s">
        <v>1960</v>
      </c>
      <c r="F579" s="1310" t="e">
        <f t="array" aca="1" ref="F579" ca="1">+_xludf.IFS(E579="50% teletrabajo",0.5, E579="25% teletrabajo",0.75,E579="75% teletrabajo",0.25,E579="100% teletrabajo",0,E579="100% trabajo presencial",1)</f>
        <v>#NAME?</v>
      </c>
      <c r="G579" s="1310" t="s">
        <v>1952</v>
      </c>
      <c r="H579" s="1310" t="e">
        <f t="array" aca="1" ref="H579" ca="1">+_xludf.IFS(G579="Vehículo - Uso individual","Auto",G579="Vehículo - Uso compartido","Auto",G579="Transporte público","Bus",G579="Moto","Moto",G579="Bicicleta o caminando","Bicicleta")</f>
        <v>#NAME?</v>
      </c>
      <c r="I579" s="1310">
        <v>1</v>
      </c>
      <c r="J579" s="1310">
        <v>12</v>
      </c>
      <c r="K579" s="1312" t="e">
        <f t="shared" ca="1" si="15"/>
        <v>#NAME?</v>
      </c>
      <c r="L579" s="1315" t="e">
        <f ca="1">+K579*I579*VLOOKUP(H579,'Factores Emisión EDGE'!$K$267:$L$272,2,FALSE)/1000</f>
        <v>#NAME?</v>
      </c>
    </row>
    <row r="580" spans="1:12">
      <c r="A580" s="1314">
        <v>44652.423624594907</v>
      </c>
      <c r="B580" s="1310" t="s">
        <v>3025</v>
      </c>
      <c r="C580" s="1310" t="s">
        <v>3026</v>
      </c>
      <c r="D580" s="1310" t="s">
        <v>1951</v>
      </c>
      <c r="E580" s="1310" t="s">
        <v>1960</v>
      </c>
      <c r="F580" s="1310" t="e">
        <f t="array" aca="1" ref="F580" ca="1">+_xludf.IFS(E580="50% teletrabajo",0.5, E580="25% teletrabajo",0.75,E580="75% teletrabajo",0.25,E580="100% teletrabajo",0,E580="100% trabajo presencial",1)</f>
        <v>#NAME?</v>
      </c>
      <c r="G580" s="1310" t="s">
        <v>2356</v>
      </c>
      <c r="H580" s="1310" t="e">
        <f t="array" aca="1" ref="H580" ca="1">+_xludf.IFS(G580="Vehículo - Uso individual","Auto",G580="Vehículo - Uso compartido","Auto",G580="Transporte público","Bus",G580="Moto","Moto",G580="Bicicleta o caminando","Bicicleta")</f>
        <v>#NAME?</v>
      </c>
      <c r="I580" s="1310">
        <v>1</v>
      </c>
      <c r="J580" s="1312"/>
      <c r="K580" s="1312" t="e">
        <f t="shared" ca="1" si="15"/>
        <v>#NAME?</v>
      </c>
      <c r="L580" s="1315"/>
    </row>
    <row r="581" spans="1:12">
      <c r="A581" s="1314">
        <v>44652.438455810188</v>
      </c>
      <c r="B581" s="1310" t="s">
        <v>3027</v>
      </c>
      <c r="C581" s="1310" t="s">
        <v>3028</v>
      </c>
      <c r="D581" s="1310" t="s">
        <v>2066</v>
      </c>
      <c r="E581" s="1310" t="s">
        <v>868</v>
      </c>
      <c r="F581" s="1310" t="e">
        <f t="array" aca="1" ref="F581" ca="1">+_xludf.IFS(E581="50% teletrabajo",0.5, E581="25% teletrabajo",0.75,E581="75% teletrabajo",0.25,E581="100% teletrabajo",0,E581="100% trabajo presencial",1)</f>
        <v>#NAME?</v>
      </c>
      <c r="G581" s="1310" t="s">
        <v>1952</v>
      </c>
      <c r="H581" s="1310" t="e">
        <f t="array" aca="1" ref="H581" ca="1">+_xludf.IFS(G581="Vehículo - Uso individual","Auto",G581="Vehículo - Uso compartido","Auto",G581="Transporte público","Bus",G581="Moto","Moto",G581="Bicicleta o caminando","Bicicleta")</f>
        <v>#NAME?</v>
      </c>
      <c r="I581" s="1310">
        <v>1</v>
      </c>
      <c r="J581" s="1310">
        <v>15</v>
      </c>
      <c r="K581" s="1312" t="e">
        <f t="shared" ca="1" si="15"/>
        <v>#NAME?</v>
      </c>
      <c r="L581" s="1315" t="e">
        <f ca="1">+K581*I581*VLOOKUP(H581,'Factores Emisión EDGE'!$K$267:$L$272,2,FALSE)/1000</f>
        <v>#NAME?</v>
      </c>
    </row>
    <row r="582" spans="1:12">
      <c r="A582" s="1314">
        <v>44652.489885567134</v>
      </c>
      <c r="B582" s="1310" t="s">
        <v>3029</v>
      </c>
      <c r="C582" s="1310" t="s">
        <v>3030</v>
      </c>
      <c r="D582" s="1310" t="s">
        <v>1951</v>
      </c>
      <c r="E582" s="1310" t="s">
        <v>868</v>
      </c>
      <c r="F582" s="1310" t="e">
        <f t="array" aca="1" ref="F582" ca="1">+_xludf.IFS(E582="50% teletrabajo",0.5, E582="25% teletrabajo",0.75,E582="75% teletrabajo",0.25,E582="100% teletrabajo",0,E582="100% trabajo presencial",1)</f>
        <v>#NAME?</v>
      </c>
      <c r="G582" s="1310" t="s">
        <v>1952</v>
      </c>
      <c r="H582" s="1310" t="e">
        <f t="array" aca="1" ref="H582" ca="1">+_xludf.IFS(G582="Vehículo - Uso individual","Auto",G582="Vehículo - Uso compartido","Auto",G582="Transporte público","Bus",G582="Moto","Moto",G582="Bicicleta o caminando","Bicicleta")</f>
        <v>#NAME?</v>
      </c>
      <c r="I582" s="1310">
        <v>1</v>
      </c>
      <c r="J582" s="1310">
        <v>8</v>
      </c>
      <c r="K582" s="1312" t="e">
        <f t="shared" ca="1" si="15"/>
        <v>#NAME?</v>
      </c>
      <c r="L582" s="1315" t="e">
        <f ca="1">+K582*I582*VLOOKUP(H582,'Factores Emisión EDGE'!$K$267:$L$272,2,FALSE)/1000</f>
        <v>#NAME?</v>
      </c>
    </row>
  </sheetData>
  <autoFilter ref="K1:K583" xr:uid="{00000000-0009-0000-0000-000014000000}"/>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outlinePr summaryBelow="0" summaryRight="0"/>
  </sheetPr>
  <dimension ref="A1:W588"/>
  <sheetViews>
    <sheetView showGridLines="0" workbookViewId="0">
      <pane ySplit="1" topLeftCell="A2" activePane="bottomLeft" state="frozen"/>
      <selection pane="bottomLeft" activeCell="B3" sqref="B3"/>
    </sheetView>
  </sheetViews>
  <sheetFormatPr baseColWidth="10" defaultColWidth="12.6640625" defaultRowHeight="15" customHeight="1"/>
  <cols>
    <col min="1" max="1" width="16.88671875" hidden="1" customWidth="1"/>
    <col min="2" max="2" width="26.44140625" customWidth="1"/>
    <col min="3" max="3" width="14.21875" customWidth="1"/>
    <col min="4" max="4" width="37.6640625" customWidth="1"/>
    <col min="5" max="5" width="36.109375" customWidth="1"/>
    <col min="6" max="6" width="18.88671875" customWidth="1"/>
    <col min="7" max="7" width="12" customWidth="1"/>
    <col min="8" max="8" width="11.77734375" customWidth="1"/>
    <col min="9" max="9" width="14.109375" customWidth="1"/>
    <col min="10" max="10" width="12.77734375" customWidth="1"/>
    <col min="11" max="11" width="15.21875" customWidth="1"/>
    <col min="12" max="14" width="18.88671875" customWidth="1"/>
    <col min="15" max="15" width="14.6640625" customWidth="1"/>
    <col min="16" max="16" width="7.88671875" customWidth="1"/>
    <col min="17" max="18" width="12.6640625" customWidth="1"/>
    <col min="19" max="19" width="24.33203125" customWidth="1"/>
    <col min="20" max="21" width="12.6640625" customWidth="1"/>
    <col min="22" max="22" width="21.6640625" customWidth="1"/>
    <col min="23" max="23" width="12.6640625" customWidth="1"/>
  </cols>
  <sheetData>
    <row r="1" spans="1:23" ht="15.75" customHeight="1">
      <c r="A1" s="1310" t="s">
        <v>1941</v>
      </c>
      <c r="B1" s="1310" t="s">
        <v>3031</v>
      </c>
      <c r="C1" s="1310" t="s">
        <v>1943</v>
      </c>
      <c r="D1" s="1310" t="s">
        <v>3032</v>
      </c>
      <c r="E1" s="1310" t="s">
        <v>3033</v>
      </c>
      <c r="F1" s="1310" t="s">
        <v>3034</v>
      </c>
      <c r="G1" s="1310" t="s">
        <v>3035</v>
      </c>
      <c r="H1" s="1319" t="s">
        <v>3036</v>
      </c>
      <c r="I1" s="1319" t="s">
        <v>909</v>
      </c>
      <c r="J1" s="1319" t="s">
        <v>3037</v>
      </c>
      <c r="K1" s="1321" t="s">
        <v>3038</v>
      </c>
      <c r="L1" s="1322" t="s">
        <v>910</v>
      </c>
      <c r="M1" s="1322" t="s">
        <v>490</v>
      </c>
      <c r="N1" s="1319" t="s">
        <v>3039</v>
      </c>
      <c r="O1" s="1312"/>
      <c r="P1" s="1312"/>
      <c r="Q1" s="1312"/>
      <c r="R1" s="1312"/>
      <c r="S1" s="1312"/>
      <c r="T1" s="1312"/>
      <c r="U1" s="1312"/>
      <c r="V1" s="1312"/>
      <c r="W1" s="1312"/>
    </row>
    <row r="2" spans="1:23" ht="15.75" customHeight="1">
      <c r="A2" s="1314">
        <v>44939.380989641199</v>
      </c>
      <c r="B2" s="1310" t="s">
        <v>3040</v>
      </c>
      <c r="C2" s="1310" t="s">
        <v>3041</v>
      </c>
      <c r="E2" s="1310" t="s">
        <v>3042</v>
      </c>
      <c r="F2" s="1310" t="s">
        <v>1952</v>
      </c>
      <c r="G2" s="1323">
        <v>420</v>
      </c>
      <c r="H2" s="486" t="e">
        <f t="array" aca="1" ref="H2" ca="1">+_xludf.IFS(E2="100% Presencial",1, E2="20% Teletrabajo (4 días a la semana)",0.8,E2="40% Teletrabajo (3 días a la semana)",0.6,E2="60% Teletrabajo (2 días a la semana)",0.4,E2="80% Teletrabajo (1 día a la semana)",0.2,E2="100% Teletrabajo",0)</f>
        <v>#NAME?</v>
      </c>
      <c r="I2" s="486" t="e">
        <f t="array" aca="1" ref="I2" ca="1">+_xludf.IFS(F2="Vehículo - Uso individual","Auto",F2="Vehículo - Uso compartido","Auto",F2="Transporte público/bus de acercamiento","Bus",F2="Moto","Moto",F2="Bicicleta o caminando","Bicicleta",F2="Ninguno, pues realicé 100% teletrabajo","No aplica",F2="Moto eléctrica","Moto eléctrica",F2="Vehículo eléctrico - Uso Individual","Vehículo eléctrico",F2="Vehículo eléctrico - Uso Compartido","Vehículo eléctrico")</f>
        <v>#NAME?</v>
      </c>
      <c r="J2" s="486">
        <v>1</v>
      </c>
      <c r="K2" s="1324" t="e">
        <f t="shared" ref="K2:K256" ca="1" si="0">+H2*G2*2*$W$5</f>
        <v>#NAME?</v>
      </c>
      <c r="L2" s="1325">
        <f ca="1">+IFERROR(VLOOKUP(I2,'Factores Emisión EDGE'!$K$267:$L$272,2,0),0)</f>
        <v>0</v>
      </c>
      <c r="M2" s="1325" t="e">
        <f t="shared" ref="M2:M256" ca="1" si="1">+L2*K2*H2/1000</f>
        <v>#NAME?</v>
      </c>
      <c r="N2" s="486" t="s">
        <v>3043</v>
      </c>
      <c r="O2" s="1312"/>
      <c r="P2" s="1312"/>
      <c r="Q2" s="1312"/>
      <c r="R2" s="1312"/>
      <c r="S2" s="1312"/>
      <c r="T2" s="1316" t="s">
        <v>3044</v>
      </c>
      <c r="U2" s="1312"/>
      <c r="V2" s="1312"/>
      <c r="W2" s="1312"/>
    </row>
    <row r="3" spans="1:23" ht="15.75" customHeight="1">
      <c r="A3" s="1314">
        <v>44929.990189363423</v>
      </c>
      <c r="B3" s="1310" t="s">
        <v>3045</v>
      </c>
      <c r="C3" s="1310" t="s">
        <v>2217</v>
      </c>
      <c r="D3" s="1310" t="s">
        <v>3046</v>
      </c>
      <c r="E3" s="1310" t="s">
        <v>3042</v>
      </c>
      <c r="F3" s="1310" t="s">
        <v>1952</v>
      </c>
      <c r="G3" s="1323">
        <v>246</v>
      </c>
      <c r="H3" s="486" t="e">
        <f t="array" aca="1" ref="H3" ca="1">+_xludf.IFS(E3="100% Presencial",1, E3="20% Teletrabajo (4 días a la semana)",0.8,E3="40% Teletrabajo (3 días a la semana)",0.6,E3="60% Teletrabajo (2 días a la semana)",0.4,E3="80% Teletrabajo (1 día a la semana)",0.2,E3="100% Teletrabajo",0)</f>
        <v>#NAME?</v>
      </c>
      <c r="I3" s="486" t="e">
        <f t="array" aca="1" ref="I3" ca="1">+_xludf.IFS(F3="Vehículo - Uso individual","Auto",F3="Vehículo - Uso compartido","Auto",F3="Transporte público/bus de acercamiento","Bus",F3="Moto","Moto",F3="Bicicleta o caminando","Bicicleta",F3="Ninguno, pues realicé 100% teletrabajo","No aplica",F3="Moto eléctrica","Moto eléctrica",F3="Vehículo eléctrico - Uso Individual","Vehículo eléctrico",F3="Vehículo eléctrico - Uso Compartido","Vehículo eléctrico")</f>
        <v>#NAME?</v>
      </c>
      <c r="J3" s="486">
        <v>1</v>
      </c>
      <c r="K3" s="1324" t="e">
        <f t="shared" ca="1" si="0"/>
        <v>#NAME?</v>
      </c>
      <c r="L3" s="1325">
        <f ca="1">+IFERROR(VLOOKUP(I3,'Factores Emisión EDGE'!$K$267:$L$272,2,0),0)</f>
        <v>0</v>
      </c>
      <c r="M3" s="1325" t="e">
        <f t="shared" ca="1" si="1"/>
        <v>#NAME?</v>
      </c>
      <c r="N3" s="486" t="s">
        <v>3043</v>
      </c>
      <c r="O3" s="1312"/>
      <c r="P3" s="1312"/>
      <c r="Q3" s="1312"/>
      <c r="R3" s="1312"/>
      <c r="S3" s="1316" t="s">
        <v>872</v>
      </c>
      <c r="T3" s="1316">
        <v>0.5</v>
      </c>
      <c r="U3" s="1312"/>
      <c r="V3" s="1316" t="s">
        <v>3047</v>
      </c>
      <c r="W3" s="1316">
        <v>252</v>
      </c>
    </row>
    <row r="4" spans="1:23" ht="15.75" customHeight="1">
      <c r="A4" s="1314">
        <v>44939.377262268521</v>
      </c>
      <c r="B4" s="1310" t="s">
        <v>2168</v>
      </c>
      <c r="C4" s="1310" t="s">
        <v>2169</v>
      </c>
      <c r="D4" s="1310" t="s">
        <v>3048</v>
      </c>
      <c r="E4" s="1310" t="s">
        <v>3049</v>
      </c>
      <c r="F4" s="1310" t="s">
        <v>3050</v>
      </c>
      <c r="G4" s="1326">
        <v>0</v>
      </c>
      <c r="H4" s="486" t="e">
        <f t="array" aca="1" ref="H4" ca="1">+_xludf.IFS(E4="100% Presencial",1, E4="20% Teletrabajo (4 días a la semana)",0.8,E4="40% Teletrabajo (3 días a la semana)",0.6,E4="60% Teletrabajo (2 días a la semana)",0.4,E4="80% Teletrabajo (1 día a la semana)",0.2,E4="100% Teletrabajo",0)</f>
        <v>#NAME?</v>
      </c>
      <c r="I4" s="486" t="e">
        <f t="array" aca="1" ref="I4" ca="1">+_xludf.IFS(F4="Vehículo - Uso individual","Auto",F4="Vehículo - Uso compartido","Auto",F4="Transporte público/bus de acercamiento","Bus",F4="Moto","Moto",F4="Bicicleta o caminando","Bicicleta",F4="Ninguno, pues realicé 100% teletrabajo","No aplica",F4="Moto eléctrica","Moto eléctrica",F4="Vehículo eléctrico - Uso Individual","Vehículo eléctrico",F4="Vehículo eléctrico - Uso Compartido","Vehículo eléctrico")</f>
        <v>#NAME?</v>
      </c>
      <c r="J4" s="486">
        <v>1</v>
      </c>
      <c r="K4" s="1324" t="e">
        <f t="shared" ca="1" si="0"/>
        <v>#NAME?</v>
      </c>
      <c r="L4" s="1325">
        <f ca="1">+IFERROR(VLOOKUP(I4,'Factores Emisión EDGE'!$K$267:$L$272,2,0),0)</f>
        <v>0</v>
      </c>
      <c r="M4" s="1325" t="e">
        <f t="shared" ca="1" si="1"/>
        <v>#NAME?</v>
      </c>
      <c r="N4" s="486" t="s">
        <v>3043</v>
      </c>
      <c r="O4" s="1312"/>
      <c r="P4" s="1312"/>
      <c r="Q4" s="1312"/>
      <c r="R4" s="1312"/>
      <c r="S4" s="1316" t="s">
        <v>1961</v>
      </c>
      <c r="T4" s="1316">
        <v>0.75</v>
      </c>
      <c r="U4" s="1312"/>
      <c r="V4" s="1316" t="s">
        <v>3051</v>
      </c>
      <c r="W4" s="1316">
        <v>15</v>
      </c>
    </row>
    <row r="5" spans="1:23" ht="15.75" customHeight="1">
      <c r="A5" s="1314">
        <v>44938.545244490742</v>
      </c>
      <c r="B5" s="1310" t="s">
        <v>3052</v>
      </c>
      <c r="C5" s="1310" t="s">
        <v>3053</v>
      </c>
      <c r="D5" s="1310" t="s">
        <v>3054</v>
      </c>
      <c r="E5" s="1310" t="s">
        <v>3042</v>
      </c>
      <c r="F5" s="1310" t="s">
        <v>3055</v>
      </c>
      <c r="G5" s="1323">
        <v>200</v>
      </c>
      <c r="H5" s="486" t="e">
        <f t="array" aca="1" ref="H5" ca="1">+_xludf.IFS(E5="100% Presencial",1, E5="20% Teletrabajo (4 días a la semana)",0.8,E5="40% Teletrabajo (3 días a la semana)",0.6,E5="60% Teletrabajo (2 días a la semana)",0.4,E5="80% Teletrabajo (1 día a la semana)",0.2,E5="100% Teletrabajo",0)</f>
        <v>#NAME?</v>
      </c>
      <c r="I5" s="486" t="e">
        <f t="array" aca="1" ref="I5" ca="1">+_xludf.IFS(F5="Vehículo - Uso individual","Auto",F5="Vehículo - Uso compartido","Auto",F5="Transporte público/bus de acercamiento","Bus",F5="Moto","Moto",F5="Bicicleta o caminando","Bicicleta",F5="Ninguno, pues realicé 100% teletrabajo","No aplica",F5="Moto eléctrica","Moto eléctrica",F5="Vehículo eléctrico - Uso Individual","Vehículo eléctrico",F5="Vehículo eléctrico - Uso Compartido","Vehículo eléctrico")</f>
        <v>#NAME?</v>
      </c>
      <c r="J5" s="486">
        <v>1</v>
      </c>
      <c r="K5" s="1324" t="e">
        <f t="shared" ca="1" si="0"/>
        <v>#NAME?</v>
      </c>
      <c r="L5" s="1325">
        <f ca="1">+IFERROR(VLOOKUP(I5,'Factores Emisión EDGE'!$K$267:$L$272,2,0),0)</f>
        <v>0</v>
      </c>
      <c r="M5" s="1325" t="e">
        <f t="shared" ca="1" si="1"/>
        <v>#NAME?</v>
      </c>
      <c r="N5" s="486" t="s">
        <v>3056</v>
      </c>
      <c r="O5" s="1315" t="s">
        <v>3057</v>
      </c>
      <c r="P5" s="1327" t="s">
        <v>551</v>
      </c>
      <c r="Q5" s="1312"/>
      <c r="R5" s="1312"/>
      <c r="S5" s="1316" t="s">
        <v>1965</v>
      </c>
      <c r="T5" s="1316">
        <v>0.25</v>
      </c>
      <c r="U5" s="1312"/>
      <c r="V5" s="1316" t="s">
        <v>87</v>
      </c>
      <c r="W5" s="1316">
        <f>+W3-W4</f>
        <v>237</v>
      </c>
    </row>
    <row r="6" spans="1:23" ht="15.75" customHeight="1">
      <c r="A6" s="1314">
        <v>44938.993161261576</v>
      </c>
      <c r="B6" s="1310" t="s">
        <v>3058</v>
      </c>
      <c r="C6" s="1310" t="s">
        <v>3059</v>
      </c>
      <c r="D6" s="1310" t="s">
        <v>3060</v>
      </c>
      <c r="E6" s="1310" t="s">
        <v>3042</v>
      </c>
      <c r="F6" s="1310" t="s">
        <v>1952</v>
      </c>
      <c r="G6" s="1326">
        <v>150</v>
      </c>
      <c r="H6" s="486" t="e">
        <f t="array" aca="1" ref="H6" ca="1">+_xludf.IFS(E6="100% Presencial",1, E6="20% Teletrabajo (4 días a la semana)",0.8,E6="40% Teletrabajo (3 días a la semana)",0.6,E6="60% Teletrabajo (2 días a la semana)",0.4,E6="80% Teletrabajo (1 día a la semana)",0.2,E6="100% Teletrabajo",0)</f>
        <v>#NAME?</v>
      </c>
      <c r="I6" s="486" t="e">
        <f t="array" aca="1" ref="I6" ca="1">+_xludf.IFS(F6="Vehículo - Uso individual","Auto",F6="Vehículo - Uso compartido","Auto",F6="Transporte público/bus de acercamiento","Bus",F6="Moto","Moto",F6="Bicicleta o caminando","Bicicleta",F6="Ninguno, pues realicé 100% teletrabajo","No aplica",F6="Moto eléctrica","Moto eléctrica",F6="Vehículo eléctrico - Uso Individual","Vehículo eléctrico",F6="Vehículo eléctrico - Uso Compartido","Vehículo eléctrico")</f>
        <v>#NAME?</v>
      </c>
      <c r="J6" s="486">
        <v>1</v>
      </c>
      <c r="K6" s="1324" t="e">
        <f t="shared" ca="1" si="0"/>
        <v>#NAME?</v>
      </c>
      <c r="L6" s="1325">
        <f ca="1">+IFERROR(VLOOKUP(I6,'Factores Emisión EDGE'!$K$267:$L$272,2,0),0)</f>
        <v>0</v>
      </c>
      <c r="M6" s="1325" t="e">
        <f t="shared" ca="1" si="1"/>
        <v>#NAME?</v>
      </c>
      <c r="N6" s="486" t="s">
        <v>3056</v>
      </c>
      <c r="O6" s="1328">
        <f>+O21</f>
        <v>587</v>
      </c>
      <c r="P6" s="1329" t="e">
        <f ca="1">+SUM(M2:M588)</f>
        <v>#NAME?</v>
      </c>
      <c r="Q6" s="1312"/>
      <c r="R6" s="1312"/>
      <c r="S6" s="1316" t="s">
        <v>1960</v>
      </c>
      <c r="T6" s="1316">
        <v>0</v>
      </c>
      <c r="U6" s="1312"/>
      <c r="V6" s="1312"/>
      <c r="W6" s="1312"/>
    </row>
    <row r="7" spans="1:23" ht="15.75" customHeight="1">
      <c r="A7" s="1314">
        <v>44939.410664027775</v>
      </c>
      <c r="B7" s="1310" t="s">
        <v>3061</v>
      </c>
      <c r="C7" s="1310" t="s">
        <v>3062</v>
      </c>
      <c r="D7" s="1310" t="s">
        <v>3063</v>
      </c>
      <c r="E7" s="1310" t="s">
        <v>885</v>
      </c>
      <c r="F7" s="1310" t="s">
        <v>1995</v>
      </c>
      <c r="G7" s="1326">
        <v>129</v>
      </c>
      <c r="H7" s="486" t="e">
        <f t="array" aca="1" ref="H7" ca="1">+_xludf.IFS(E7="100% Presencial",1, E7="20% Teletrabajo (4 días a la semana)",0.8,E7="40% Teletrabajo (3 días a la semana)",0.6,E7="60% Teletrabajo (2 días a la semana)",0.4,E7="80% Teletrabajo (1 día a la semana)",0.2,E7="100% Teletrabajo",0)</f>
        <v>#NAME?</v>
      </c>
      <c r="I7" s="486" t="e">
        <f t="array" aca="1" ref="I7" ca="1">+_xludf.IFS(F7="Vehículo - Uso individual","Auto",F7="Vehículo - Uso compartido","Auto",F7="Transporte público/bus de acercamiento","Bus",F7="Moto","Moto",F7="Bicicleta o caminando","Bicicleta",F7="Ninguno, pues realicé 100% teletrabajo","No aplica",F7="Moto eléctrica","Moto eléctrica",F7="Vehículo eléctrico - Uso Individual","Vehículo eléctrico",F7="Vehículo eléctrico - Uso Compartido","Vehículo eléctrico")</f>
        <v>#NAME?</v>
      </c>
      <c r="J7" s="486">
        <v>0.25</v>
      </c>
      <c r="K7" s="1324" t="e">
        <f t="shared" ca="1" si="0"/>
        <v>#NAME?</v>
      </c>
      <c r="L7" s="1325">
        <f ca="1">+IFERROR(VLOOKUP(I7,'Factores Emisión EDGE'!$K$267:$L$272,2,0),0)</f>
        <v>0</v>
      </c>
      <c r="M7" s="1325" t="e">
        <f t="shared" ca="1" si="1"/>
        <v>#NAME?</v>
      </c>
      <c r="N7" s="486" t="s">
        <v>3043</v>
      </c>
      <c r="O7" s="1328"/>
      <c r="P7" s="1328"/>
      <c r="Q7" s="1312"/>
      <c r="R7" s="1312"/>
      <c r="S7" s="1316" t="s">
        <v>868</v>
      </c>
      <c r="T7" s="1316">
        <v>1</v>
      </c>
      <c r="U7" s="1312"/>
      <c r="V7" s="1312"/>
      <c r="W7" s="1312"/>
    </row>
    <row r="8" spans="1:23" ht="15.75" customHeight="1">
      <c r="A8" s="1314">
        <v>44939.503549398149</v>
      </c>
      <c r="B8" s="1310" t="s">
        <v>3064</v>
      </c>
      <c r="C8" s="1310" t="s">
        <v>3065</v>
      </c>
      <c r="D8" s="1310" t="s">
        <v>3048</v>
      </c>
      <c r="E8" s="1310" t="s">
        <v>3066</v>
      </c>
      <c r="F8" s="1310" t="s">
        <v>1952</v>
      </c>
      <c r="G8" s="1326">
        <v>125</v>
      </c>
      <c r="H8" s="486" t="e">
        <f t="array" aca="1" ref="H8" ca="1">+_xludf.IFS(E8="100% Presencial",1, E8="20% Teletrabajo (4 días a la semana)",0.8,E8="40% Teletrabajo (3 días a la semana)",0.6,E8="60% Teletrabajo (2 días a la semana)",0.4,E8="80% Teletrabajo (1 día a la semana)",0.2,E8="100% Teletrabajo",0)</f>
        <v>#NAME?</v>
      </c>
      <c r="I8" s="486" t="e">
        <f t="array" aca="1" ref="I8" ca="1">+_xludf.IFS(F8="Vehículo - Uso individual","Auto",F8="Vehículo - Uso compartido","Auto",F8="Transporte público/bus de acercamiento","Bus",F8="Moto","Moto",F8="Bicicleta o caminando","Bicicleta",F8="Ninguno, pues realicé 100% teletrabajo","No aplica",F8="Moto eléctrica","Moto eléctrica",F8="Vehículo eléctrico - Uso Individual","Vehículo eléctrico",F8="Vehículo eléctrico - Uso Compartido","Vehículo eléctrico")</f>
        <v>#NAME?</v>
      </c>
      <c r="J8" s="486">
        <v>1</v>
      </c>
      <c r="K8" s="1324" t="e">
        <f t="shared" ca="1" si="0"/>
        <v>#NAME?</v>
      </c>
      <c r="L8" s="1325">
        <f ca="1">+IFERROR(VLOOKUP(I8,'Factores Emisión EDGE'!$K$267:$L$272,2,0),0)</f>
        <v>0</v>
      </c>
      <c r="M8" s="1325" t="e">
        <f t="shared" ca="1" si="1"/>
        <v>#NAME?</v>
      </c>
      <c r="N8" s="486" t="s">
        <v>3043</v>
      </c>
      <c r="O8" s="1312"/>
      <c r="P8" s="1312"/>
      <c r="Q8" s="1312"/>
      <c r="R8" s="1312"/>
      <c r="S8" s="1312"/>
      <c r="T8" s="1312"/>
      <c r="U8" s="1312"/>
      <c r="V8" s="1312"/>
      <c r="W8" s="1312"/>
    </row>
    <row r="9" spans="1:23" ht="15.75" customHeight="1">
      <c r="A9" s="1314">
        <v>44939.792174884264</v>
      </c>
      <c r="B9" s="1310" t="s">
        <v>3067</v>
      </c>
      <c r="C9" s="1310" t="s">
        <v>3068</v>
      </c>
      <c r="D9" s="1310" t="s">
        <v>3048</v>
      </c>
      <c r="E9" s="1310" t="s">
        <v>3049</v>
      </c>
      <c r="F9" s="1310" t="s">
        <v>3050</v>
      </c>
      <c r="G9" s="1326">
        <v>0</v>
      </c>
      <c r="H9" s="486" t="e">
        <f t="array" aca="1" ref="H9" ca="1">+_xludf.IFS(E9="100% Presencial",1, E9="20% Teletrabajo (4 días a la semana)",0.8,E9="40% Teletrabajo (3 días a la semana)",0.6,E9="60% Teletrabajo (2 días a la semana)",0.4,E9="80% Teletrabajo (1 día a la semana)",0.2,E9="100% Teletrabajo",0)</f>
        <v>#NAME?</v>
      </c>
      <c r="I9" s="486" t="e">
        <f t="array" aca="1" ref="I9" ca="1">+_xludf.IFS(F9="Vehículo - Uso individual","Auto",F9="Vehículo - Uso compartido","Auto",F9="Transporte público/bus de acercamiento","Bus",F9="Moto","Moto",F9="Bicicleta o caminando","Bicicleta",F9="Ninguno, pues realicé 100% teletrabajo","No aplica",F9="Moto eléctrica","Moto eléctrica",F9="Vehículo eléctrico - Uso Individual","Vehículo eléctrico",F9="Vehículo eléctrico - Uso Compartido","Vehículo eléctrico")</f>
        <v>#NAME?</v>
      </c>
      <c r="J9" s="486">
        <v>1</v>
      </c>
      <c r="K9" s="1324" t="e">
        <f t="shared" ca="1" si="0"/>
        <v>#NAME?</v>
      </c>
      <c r="L9" s="1325">
        <f ca="1">+IFERROR(VLOOKUP(I9,'Factores Emisión EDGE'!$K$267:$L$272,2,0),0)</f>
        <v>0</v>
      </c>
      <c r="M9" s="1325" t="e">
        <f t="shared" ca="1" si="1"/>
        <v>#NAME?</v>
      </c>
      <c r="N9" s="486" t="s">
        <v>3043</v>
      </c>
      <c r="O9" s="1312"/>
      <c r="P9" s="1312"/>
      <c r="Q9" s="1312"/>
      <c r="R9" s="1312"/>
      <c r="S9" s="1312"/>
      <c r="T9" s="1316" t="s">
        <v>3069</v>
      </c>
      <c r="U9" s="1312"/>
      <c r="V9" s="1312"/>
      <c r="W9" s="1312"/>
    </row>
    <row r="10" spans="1:23" ht="15.75" customHeight="1">
      <c r="A10" s="1314">
        <v>44929.5177128125</v>
      </c>
      <c r="B10" s="1310" t="s">
        <v>3070</v>
      </c>
      <c r="C10" s="1310" t="s">
        <v>3071</v>
      </c>
      <c r="D10" s="1310" t="s">
        <v>3048</v>
      </c>
      <c r="E10" s="1310" t="s">
        <v>883</v>
      </c>
      <c r="F10" s="1310" t="s">
        <v>1952</v>
      </c>
      <c r="G10" s="1326">
        <v>100</v>
      </c>
      <c r="H10" s="486" t="e">
        <f t="array" aca="1" ref="H10" ca="1">+_xludf.IFS(E10="100% Presencial",1, E10="20% Teletrabajo (4 días a la semana)",0.8,E10="40% Teletrabajo (3 días a la semana)",0.6,E10="60% Teletrabajo (2 días a la semana)",0.4,E10="80% Teletrabajo (1 día a la semana)",0.2,E10="100% Teletrabajo",0)</f>
        <v>#NAME?</v>
      </c>
      <c r="I10" s="486" t="e">
        <f t="array" aca="1" ref="I10" ca="1">+_xludf.IFS(F10="Vehículo - Uso individual","Auto",F10="Vehículo - Uso compartido","Auto",F10="Transporte público/bus de acercamiento","Bus",F10="Moto","Moto",F10="Bicicleta o caminando","Bicicleta",F10="Ninguno, pues realicé 100% teletrabajo","No aplica",F10="Moto eléctrica","Moto eléctrica",F10="Vehículo eléctrico - Uso Individual","Vehículo eléctrico",F10="Vehículo eléctrico - Uso Compartido","Vehículo eléctrico")</f>
        <v>#NAME?</v>
      </c>
      <c r="J10" s="486">
        <v>1</v>
      </c>
      <c r="K10" s="1324" t="e">
        <f t="shared" ca="1" si="0"/>
        <v>#NAME?</v>
      </c>
      <c r="L10" s="1325">
        <f ca="1">+IFERROR(VLOOKUP(I10,'Factores Emisión EDGE'!$K$267:$L$272,2,0),0)</f>
        <v>0</v>
      </c>
      <c r="M10" s="1325" t="e">
        <f t="shared" ca="1" si="1"/>
        <v>#NAME?</v>
      </c>
      <c r="N10" s="486" t="s">
        <v>3043</v>
      </c>
      <c r="O10" s="1312"/>
      <c r="P10" s="1312"/>
      <c r="Q10" s="1312"/>
      <c r="R10" s="1312"/>
      <c r="S10" s="1316" t="s">
        <v>1975</v>
      </c>
      <c r="T10" s="1316" t="s">
        <v>855</v>
      </c>
      <c r="U10" s="1312"/>
      <c r="V10" s="1312"/>
      <c r="W10" s="1312"/>
    </row>
    <row r="11" spans="1:23" ht="15.75" customHeight="1">
      <c r="A11" s="1314">
        <v>44938.818943460647</v>
      </c>
      <c r="B11" s="1310" t="s">
        <v>3072</v>
      </c>
      <c r="C11" s="1310" t="s">
        <v>2177</v>
      </c>
      <c r="D11" s="1310" t="s">
        <v>3048</v>
      </c>
      <c r="E11" s="1310" t="s">
        <v>3049</v>
      </c>
      <c r="F11" s="1310" t="s">
        <v>3050</v>
      </c>
      <c r="G11" s="1326">
        <v>0</v>
      </c>
      <c r="H11" s="486" t="e">
        <f t="array" aca="1" ref="H11" ca="1">+_xludf.IFS(E11="100% Presencial",1, E11="20% Teletrabajo (4 días a la semana)",0.8,E11="40% Teletrabajo (3 días a la semana)",0.6,E11="60% Teletrabajo (2 días a la semana)",0.4,E11="80% Teletrabajo (1 día a la semana)",0.2,E11="100% Teletrabajo",0)</f>
        <v>#NAME?</v>
      </c>
      <c r="I11" s="486" t="e">
        <f t="array" aca="1" ref="I11" ca="1">+_xludf.IFS(F11="Vehículo - Uso individual","Auto",F11="Vehículo - Uso compartido","Auto",F11="Transporte público/bus de acercamiento","Bus",F11="Moto","Moto",F11="Bicicleta o caminando","Bicicleta",F11="Ninguno, pues realicé 100% teletrabajo","No aplica",F11="Moto eléctrica","Moto eléctrica",F11="Vehículo eléctrico - Uso Individual","Vehículo eléctrico",F11="Vehículo eléctrico - Uso Compartido","Vehículo eléctrico")</f>
        <v>#NAME?</v>
      </c>
      <c r="J11" s="486">
        <v>1</v>
      </c>
      <c r="K11" s="1324" t="e">
        <f t="shared" ca="1" si="0"/>
        <v>#NAME?</v>
      </c>
      <c r="L11" s="1325">
        <f ca="1">+IFERROR(VLOOKUP(I11,'Factores Emisión EDGE'!$K$267:$L$272,2,0),0)</f>
        <v>0</v>
      </c>
      <c r="M11" s="1325" t="e">
        <f t="shared" ca="1" si="1"/>
        <v>#NAME?</v>
      </c>
      <c r="N11" s="486" t="s">
        <v>3043</v>
      </c>
      <c r="O11" s="1312"/>
      <c r="P11" s="1312"/>
      <c r="Q11" s="1312"/>
      <c r="R11" s="1312"/>
      <c r="S11" s="1316" t="s">
        <v>1978</v>
      </c>
      <c r="T11" s="1316" t="s">
        <v>855</v>
      </c>
      <c r="U11" s="1312"/>
      <c r="V11" s="1312"/>
      <c r="W11" s="1312"/>
    </row>
    <row r="12" spans="1:23" ht="15.75" customHeight="1">
      <c r="A12" s="1314">
        <v>44939.379006076386</v>
      </c>
      <c r="B12" s="1310" t="s">
        <v>3073</v>
      </c>
      <c r="C12" s="1310" t="s">
        <v>2053</v>
      </c>
      <c r="D12" s="1310" t="s">
        <v>3048</v>
      </c>
      <c r="E12" s="1310" t="s">
        <v>3049</v>
      </c>
      <c r="F12" s="1310" t="s">
        <v>3050</v>
      </c>
      <c r="G12" s="1326">
        <v>0</v>
      </c>
      <c r="H12" s="486" t="e">
        <f t="array" aca="1" ref="H12" ca="1">+_xludf.IFS(E12="100% Presencial",1, E12="20% Teletrabajo (4 días a la semana)",0.8,E12="40% Teletrabajo (3 días a la semana)",0.6,E12="60% Teletrabajo (2 días a la semana)",0.4,E12="80% Teletrabajo (1 día a la semana)",0.2,E12="100% Teletrabajo",0)</f>
        <v>#NAME?</v>
      </c>
      <c r="I12" s="486" t="e">
        <f t="array" aca="1" ref="I12" ca="1">+_xludf.IFS(F12="Vehículo - Uso individual","Auto",F12="Vehículo - Uso compartido","Auto",F12="Transporte público/bus de acercamiento","Bus",F12="Moto","Moto",F12="Bicicleta o caminando","Bicicleta",F12="Ninguno, pues realicé 100% teletrabajo","No aplica",F12="Moto eléctrica","Moto eléctrica",F12="Vehículo eléctrico - Uso Individual","Vehículo eléctrico",F12="Vehículo eléctrico - Uso Compartido","Vehículo eléctrico")</f>
        <v>#NAME?</v>
      </c>
      <c r="J12" s="486">
        <v>1</v>
      </c>
      <c r="K12" s="1324" t="e">
        <f t="shared" ca="1" si="0"/>
        <v>#NAME?</v>
      </c>
      <c r="L12" s="1325">
        <f ca="1">+IFERROR(VLOOKUP(I12,'Factores Emisión EDGE'!$K$267:$L$272,2,0),0)</f>
        <v>0</v>
      </c>
      <c r="M12" s="1325" t="e">
        <f t="shared" ca="1" si="1"/>
        <v>#NAME?</v>
      </c>
      <c r="N12" s="486" t="s">
        <v>3043</v>
      </c>
      <c r="O12" s="1312"/>
      <c r="P12" s="1312"/>
      <c r="Q12" s="1312"/>
      <c r="R12" s="1312"/>
      <c r="S12" s="1316" t="s">
        <v>1964</v>
      </c>
      <c r="T12" s="1316" t="s">
        <v>857</v>
      </c>
      <c r="U12" s="1312"/>
      <c r="V12" s="1312"/>
      <c r="W12" s="1312"/>
    </row>
    <row r="13" spans="1:23" ht="15.75" customHeight="1">
      <c r="A13" s="1314">
        <v>44938.401675289351</v>
      </c>
      <c r="B13" s="1310" t="s">
        <v>3074</v>
      </c>
      <c r="C13" s="1310" t="s">
        <v>3075</v>
      </c>
      <c r="D13" s="1310" t="s">
        <v>3048</v>
      </c>
      <c r="E13" s="1310" t="s">
        <v>3049</v>
      </c>
      <c r="F13" s="1310" t="s">
        <v>3050</v>
      </c>
      <c r="G13" s="1326">
        <v>0</v>
      </c>
      <c r="H13" s="486" t="e">
        <f t="array" aca="1" ref="H13" ca="1">+_xludf.IFS(E13="100% Presencial",1, E13="20% Teletrabajo (4 días a la semana)",0.8,E13="40% Teletrabajo (3 días a la semana)",0.6,E13="60% Teletrabajo (2 días a la semana)",0.4,E13="80% Teletrabajo (1 día a la semana)",0.2,E13="100% Teletrabajo",0)</f>
        <v>#NAME?</v>
      </c>
      <c r="I13" s="486" t="e">
        <f t="array" aca="1" ref="I13" ca="1">+_xludf.IFS(F13="Vehículo - Uso individual","Auto",F13="Vehículo - Uso compartido","Auto",F13="Transporte público/bus de acercamiento","Bus",F13="Moto","Moto",F13="Bicicleta o caminando","Bicicleta",F13="Ninguno, pues realicé 100% teletrabajo","No aplica",F13="Moto eléctrica","Moto eléctrica",F13="Vehículo eléctrico - Uso Individual","Vehículo eléctrico",F13="Vehículo eléctrico - Uso Compartido","Vehículo eléctrico")</f>
        <v>#NAME?</v>
      </c>
      <c r="J13" s="486">
        <v>1</v>
      </c>
      <c r="K13" s="1324" t="e">
        <f t="shared" ca="1" si="0"/>
        <v>#NAME?</v>
      </c>
      <c r="L13" s="1325">
        <f ca="1">+IFERROR(VLOOKUP(I13,'Factores Emisión EDGE'!$K$267:$L$272,2,0),0)</f>
        <v>0</v>
      </c>
      <c r="M13" s="1325" t="e">
        <f t="shared" ca="1" si="1"/>
        <v>#NAME?</v>
      </c>
      <c r="N13" s="486" t="s">
        <v>3043</v>
      </c>
      <c r="O13" s="1312"/>
      <c r="P13" s="1312"/>
      <c r="Q13" s="1312"/>
      <c r="R13" s="1312"/>
      <c r="S13" s="1316" t="s">
        <v>1983</v>
      </c>
      <c r="T13" s="1316" t="s">
        <v>861</v>
      </c>
      <c r="U13" s="1312"/>
      <c r="V13" s="1312"/>
      <c r="W13" s="1312"/>
    </row>
    <row r="14" spans="1:23" ht="15.75" customHeight="1">
      <c r="A14" s="1314">
        <v>44930.842340393516</v>
      </c>
      <c r="B14" s="1310" t="s">
        <v>3076</v>
      </c>
      <c r="C14" s="1310" t="s">
        <v>3077</v>
      </c>
      <c r="D14" s="1310" t="s">
        <v>3048</v>
      </c>
      <c r="E14" s="1310" t="s">
        <v>3049</v>
      </c>
      <c r="F14" s="1310" t="s">
        <v>3050</v>
      </c>
      <c r="G14" s="1326">
        <v>0</v>
      </c>
      <c r="H14" s="486" t="e">
        <f t="array" aca="1" ref="H14" ca="1">+_xludf.IFS(E14="100% Presencial",1, E14="20% Teletrabajo (4 días a la semana)",0.8,E14="40% Teletrabajo (3 días a la semana)",0.6,E14="60% Teletrabajo (2 días a la semana)",0.4,E14="80% Teletrabajo (1 día a la semana)",0.2,E14="100% Teletrabajo",0)</f>
        <v>#NAME?</v>
      </c>
      <c r="I14" s="486" t="e">
        <f t="array" aca="1" ref="I14" ca="1">+_xludf.IFS(F14="Vehículo - Uso individual","Auto",F14="Vehículo - Uso compartido","Auto",F14="Transporte público/bus de acercamiento","Bus",F14="Moto","Moto",F14="Bicicleta o caminando","Bicicleta",F14="Ninguno, pues realicé 100% teletrabajo","No aplica",F14="Moto eléctrica","Moto eléctrica",F14="Vehículo eléctrico - Uso Individual","Vehículo eléctrico",F14="Vehículo eléctrico - Uso Compartido","Vehículo eléctrico")</f>
        <v>#NAME?</v>
      </c>
      <c r="J14" s="486">
        <v>1</v>
      </c>
      <c r="K14" s="1324" t="e">
        <f t="shared" ca="1" si="0"/>
        <v>#NAME?</v>
      </c>
      <c r="L14" s="1325">
        <f ca="1">+IFERROR(VLOOKUP(I14,'Factores Emisión EDGE'!$K$267:$L$272,2,0),0)</f>
        <v>0</v>
      </c>
      <c r="M14" s="1325" t="e">
        <f t="shared" ca="1" si="1"/>
        <v>#NAME?</v>
      </c>
      <c r="N14" s="486" t="s">
        <v>3043</v>
      </c>
      <c r="O14" s="1312"/>
      <c r="P14" s="1312"/>
      <c r="Q14" s="1312"/>
      <c r="R14" s="1312"/>
      <c r="S14" s="1316" t="s">
        <v>863</v>
      </c>
      <c r="T14" s="1316"/>
      <c r="U14" s="1312"/>
      <c r="V14" s="1312"/>
      <c r="W14" s="1312"/>
    </row>
    <row r="15" spans="1:23" ht="15.75" customHeight="1">
      <c r="A15" s="1314">
        <v>44938.691840462961</v>
      </c>
      <c r="B15" s="1310" t="s">
        <v>3078</v>
      </c>
      <c r="C15" s="1310" t="s">
        <v>3079</v>
      </c>
      <c r="D15" s="1310" t="s">
        <v>3046</v>
      </c>
      <c r="E15" s="1310" t="s">
        <v>3042</v>
      </c>
      <c r="F15" s="1310" t="s">
        <v>1952</v>
      </c>
      <c r="G15" s="1326">
        <v>100</v>
      </c>
      <c r="H15" s="486" t="e">
        <f t="array" aca="1" ref="H15" ca="1">+_xludf.IFS(E15="100% Presencial",1, E15="20% Teletrabajo (4 días a la semana)",0.8,E15="40% Teletrabajo (3 días a la semana)",0.6,E15="60% Teletrabajo (2 días a la semana)",0.4,E15="80% Teletrabajo (1 día a la semana)",0.2,E15="100% Teletrabajo",0)</f>
        <v>#NAME?</v>
      </c>
      <c r="I15" s="486" t="e">
        <f t="array" aca="1" ref="I15" ca="1">+_xludf.IFS(F15="Vehículo - Uso individual","Auto",F15="Vehículo - Uso compartido","Auto",F15="Transporte público/bus de acercamiento","Bus",F15="Moto","Moto",F15="Bicicleta o caminando","Bicicleta",F15="Ninguno, pues realicé 100% teletrabajo","No aplica",F15="Moto eléctrica","Moto eléctrica",F15="Vehículo eléctrico - Uso Individual","Vehículo eléctrico",F15="Vehículo eléctrico - Uso Compartido","Vehículo eléctrico")</f>
        <v>#NAME?</v>
      </c>
      <c r="J15" s="486">
        <v>1</v>
      </c>
      <c r="K15" s="1324" t="e">
        <f t="shared" ca="1" si="0"/>
        <v>#NAME?</v>
      </c>
      <c r="L15" s="1325">
        <f ca="1">+IFERROR(VLOOKUP(I15,'Factores Emisión EDGE'!$K$267:$L$272,2,0),0)</f>
        <v>0</v>
      </c>
      <c r="M15" s="1325" t="e">
        <f t="shared" ca="1" si="1"/>
        <v>#NAME?</v>
      </c>
      <c r="N15" s="486" t="s">
        <v>3056</v>
      </c>
      <c r="O15" s="1312"/>
      <c r="P15" s="1312"/>
      <c r="Q15" s="1312"/>
      <c r="R15" s="1312"/>
      <c r="S15" s="1312"/>
      <c r="T15" s="1312"/>
      <c r="U15" s="1312"/>
      <c r="V15" s="1312"/>
      <c r="W15" s="1312"/>
    </row>
    <row r="16" spans="1:23" ht="15.75" customHeight="1">
      <c r="A16" s="1314">
        <v>44930.953167430554</v>
      </c>
      <c r="B16" s="1310" t="s">
        <v>2975</v>
      </c>
      <c r="C16" s="1310" t="s">
        <v>2976</v>
      </c>
      <c r="D16" s="1310" t="s">
        <v>3080</v>
      </c>
      <c r="E16" s="1310" t="s">
        <v>3042</v>
      </c>
      <c r="F16" s="1310" t="s">
        <v>1952</v>
      </c>
      <c r="G16" s="1326">
        <v>87</v>
      </c>
      <c r="H16" s="486" t="e">
        <f t="array" aca="1" ref="H16" ca="1">+_xludf.IFS(E16="100% Presencial",1, E16="20% Teletrabajo (4 días a la semana)",0.8,E16="40% Teletrabajo (3 días a la semana)",0.6,E16="60% Teletrabajo (2 días a la semana)",0.4,E16="80% Teletrabajo (1 día a la semana)",0.2,E16="100% Teletrabajo",0)</f>
        <v>#NAME?</v>
      </c>
      <c r="I16" s="486" t="e">
        <f t="array" aca="1" ref="I16" ca="1">+_xludf.IFS(F16="Vehículo - Uso individual","Auto",F16="Vehículo - Uso compartido","Auto",F16="Transporte público/bus de acercamiento","Bus",F16="Moto","Moto",F16="Bicicleta o caminando","Bicicleta",F16="Ninguno, pues realicé 100% teletrabajo","No aplica",F16="Moto eléctrica","Moto eléctrica",F16="Vehículo eléctrico - Uso Individual","Vehículo eléctrico",F16="Vehículo eléctrico - Uso Compartido","Vehículo eléctrico")</f>
        <v>#NAME?</v>
      </c>
      <c r="J16" s="486">
        <v>1</v>
      </c>
      <c r="K16" s="1324" t="e">
        <f t="shared" ca="1" si="0"/>
        <v>#NAME?</v>
      </c>
      <c r="L16" s="1325">
        <f ca="1">+IFERROR(VLOOKUP(I16,'Factores Emisión EDGE'!$K$267:$L$272,2,0),0)</f>
        <v>0</v>
      </c>
      <c r="M16" s="1325" t="e">
        <f t="shared" ca="1" si="1"/>
        <v>#NAME?</v>
      </c>
      <c r="N16" s="486" t="s">
        <v>3056</v>
      </c>
      <c r="O16" s="1312"/>
      <c r="P16" s="1312"/>
      <c r="Q16" s="1312"/>
      <c r="R16" s="1312"/>
      <c r="S16" s="1312"/>
      <c r="T16" s="1312"/>
      <c r="U16" s="1312"/>
      <c r="V16" s="1312"/>
      <c r="W16" s="1312"/>
    </row>
    <row r="17" spans="1:16" ht="15.75" customHeight="1">
      <c r="A17" s="1314">
        <v>44931.462710810185</v>
      </c>
      <c r="B17" s="1310" t="s">
        <v>3081</v>
      </c>
      <c r="C17" s="1310" t="s">
        <v>3082</v>
      </c>
      <c r="D17" s="1310" t="s">
        <v>3083</v>
      </c>
      <c r="E17" s="1310" t="s">
        <v>3042</v>
      </c>
      <c r="F17" s="1310" t="s">
        <v>1952</v>
      </c>
      <c r="G17" s="1326">
        <v>70</v>
      </c>
      <c r="H17" s="486" t="e">
        <f t="array" aca="1" ref="H17" ca="1">+_xludf.IFS(E17="100% Presencial",1, E17="20% Teletrabajo (4 días a la semana)",0.8,E17="40% Teletrabajo (3 días a la semana)",0.6,E17="60% Teletrabajo (2 días a la semana)",0.4,E17="80% Teletrabajo (1 día a la semana)",0.2,E17="100% Teletrabajo",0)</f>
        <v>#NAME?</v>
      </c>
      <c r="I17" s="486" t="e">
        <f t="array" aca="1" ref="I17" ca="1">+_xludf.IFS(F17="Vehículo - Uso individual","Auto",F17="Vehículo - Uso compartido","Auto",F17="Transporte público/bus de acercamiento","Bus",F17="Moto","Moto",F17="Bicicleta o caminando","Bicicleta",F17="Ninguno, pues realicé 100% teletrabajo","No aplica",F17="Moto eléctrica","Moto eléctrica",F17="Vehículo eléctrico - Uso Individual","Vehículo eléctrico",F17="Vehículo eléctrico - Uso Compartido","Vehículo eléctrico")</f>
        <v>#NAME?</v>
      </c>
      <c r="J17" s="486">
        <v>1</v>
      </c>
      <c r="K17" s="1324" t="e">
        <f t="shared" ca="1" si="0"/>
        <v>#NAME?</v>
      </c>
      <c r="L17" s="1325">
        <f ca="1">+IFERROR(VLOOKUP(I17,'Factores Emisión EDGE'!$K$267:$L$272,2,0),0)</f>
        <v>0</v>
      </c>
      <c r="M17" s="1325" t="e">
        <f t="shared" ca="1" si="1"/>
        <v>#NAME?</v>
      </c>
      <c r="N17" s="486" t="s">
        <v>3056</v>
      </c>
      <c r="O17" s="1312"/>
      <c r="P17" s="1312"/>
    </row>
    <row r="18" spans="1:16" ht="15.75" customHeight="1">
      <c r="A18" s="1314">
        <v>44938.705726886576</v>
      </c>
      <c r="B18" s="1310" t="s">
        <v>3084</v>
      </c>
      <c r="C18" s="1310" t="s">
        <v>3085</v>
      </c>
      <c r="D18" s="1310" t="s">
        <v>3046</v>
      </c>
      <c r="E18" s="1310" t="s">
        <v>3042</v>
      </c>
      <c r="F18" s="1310" t="s">
        <v>1952</v>
      </c>
      <c r="G18" s="1326">
        <v>70</v>
      </c>
      <c r="H18" s="486" t="e">
        <f t="array" aca="1" ref="H18" ca="1">+_xludf.IFS(E18="100% Presencial",1, E18="20% Teletrabajo (4 días a la semana)",0.8,E18="40% Teletrabajo (3 días a la semana)",0.6,E18="60% Teletrabajo (2 días a la semana)",0.4,E18="80% Teletrabajo (1 día a la semana)",0.2,E18="100% Teletrabajo",0)</f>
        <v>#NAME?</v>
      </c>
      <c r="I18" s="486" t="e">
        <f t="array" aca="1" ref="I18" ca="1">+_xludf.IFS(F18="Vehículo - Uso individual","Auto",F18="Vehículo - Uso compartido","Auto",F18="Transporte público/bus de acercamiento","Bus",F18="Moto","Moto",F18="Bicicleta o caminando","Bicicleta",F18="Ninguno, pues realicé 100% teletrabajo","No aplica",F18="Moto eléctrica","Moto eléctrica",F18="Vehículo eléctrico - Uso Individual","Vehículo eléctrico",F18="Vehículo eléctrico - Uso Compartido","Vehículo eléctrico")</f>
        <v>#NAME?</v>
      </c>
      <c r="J18" s="486">
        <v>1</v>
      </c>
      <c r="K18" s="1324" t="e">
        <f t="shared" ca="1" si="0"/>
        <v>#NAME?</v>
      </c>
      <c r="L18" s="1325">
        <f ca="1">+IFERROR(VLOOKUP(I18,'Factores Emisión EDGE'!$K$267:$L$272,2,0),0)</f>
        <v>0</v>
      </c>
      <c r="M18" s="1325" t="e">
        <f t="shared" ca="1" si="1"/>
        <v>#NAME?</v>
      </c>
      <c r="N18" s="486" t="s">
        <v>3056</v>
      </c>
      <c r="O18" s="1312"/>
      <c r="P18" s="1312"/>
    </row>
    <row r="19" spans="1:16" ht="15.75" customHeight="1">
      <c r="A19" s="1314">
        <v>44939.397271643524</v>
      </c>
      <c r="B19" s="1310" t="s">
        <v>3086</v>
      </c>
      <c r="C19" s="1310" t="s">
        <v>3087</v>
      </c>
      <c r="D19" s="1310" t="s">
        <v>3048</v>
      </c>
      <c r="E19" s="1310" t="s">
        <v>885</v>
      </c>
      <c r="F19" s="1310" t="s">
        <v>3055</v>
      </c>
      <c r="G19" s="1326">
        <v>70</v>
      </c>
      <c r="H19" s="486" t="e">
        <f t="array" aca="1" ref="H19" ca="1">+_xludf.IFS(E19="100% Presencial",1, E19="20% Teletrabajo (4 días a la semana)",0.8,E19="40% Teletrabajo (3 días a la semana)",0.6,E19="60% Teletrabajo (2 días a la semana)",0.4,E19="80% Teletrabajo (1 día a la semana)",0.2,E19="100% Teletrabajo",0)</f>
        <v>#NAME?</v>
      </c>
      <c r="I19" s="486" t="e">
        <f t="array" aca="1" ref="I19" ca="1">+_xludf.IFS(F19="Vehículo - Uso individual","Auto",F19="Vehículo - Uso compartido","Auto",F19="Transporte público/bus de acercamiento","Bus",F19="Moto","Moto",F19="Bicicleta o caminando","Bicicleta",F19="Ninguno, pues realicé 100% teletrabajo","No aplica",F19="Moto eléctrica","Moto eléctrica",F19="Vehículo eléctrico - Uso Individual","Vehículo eléctrico",F19="Vehículo eléctrico - Uso Compartido","Vehículo eléctrico")</f>
        <v>#NAME?</v>
      </c>
      <c r="J19" s="486">
        <v>1</v>
      </c>
      <c r="K19" s="1324" t="e">
        <f t="shared" ca="1" si="0"/>
        <v>#NAME?</v>
      </c>
      <c r="L19" s="1325">
        <f ca="1">+IFERROR(VLOOKUP(I19,'Factores Emisión EDGE'!$K$267:$L$272,2,0),0)</f>
        <v>0</v>
      </c>
      <c r="M19" s="1325" t="e">
        <f t="shared" ca="1" si="1"/>
        <v>#NAME?</v>
      </c>
      <c r="N19" s="486" t="s">
        <v>3043</v>
      </c>
      <c r="O19" s="1312">
        <f>+COUNTIF(N1:N588,"propio")</f>
        <v>362</v>
      </c>
      <c r="P19" s="1330">
        <f t="shared" ref="P19:P20" si="2">+O19/$O$21</f>
        <v>0.61669505962521298</v>
      </c>
    </row>
    <row r="20" spans="1:16" ht="15.75" customHeight="1">
      <c r="A20" s="1314">
        <v>44939.383649629628</v>
      </c>
      <c r="B20" s="1310" t="s">
        <v>3088</v>
      </c>
      <c r="C20" s="1310" t="s">
        <v>3089</v>
      </c>
      <c r="D20" s="1310" t="s">
        <v>3048</v>
      </c>
      <c r="E20" s="1310" t="s">
        <v>3049</v>
      </c>
      <c r="F20" s="1310" t="s">
        <v>3050</v>
      </c>
      <c r="G20" s="1326">
        <v>0</v>
      </c>
      <c r="H20" s="486" t="e">
        <f t="array" aca="1" ref="H20" ca="1">+_xludf.IFS(E20="100% Presencial",1, E20="20% Teletrabajo (4 días a la semana)",0.8,E20="40% Teletrabajo (3 días a la semana)",0.6,E20="60% Teletrabajo (2 días a la semana)",0.4,E20="80% Teletrabajo (1 día a la semana)",0.2,E20="100% Teletrabajo",0)</f>
        <v>#NAME?</v>
      </c>
      <c r="I20" s="486" t="e">
        <f t="array" aca="1" ref="I20" ca="1">+_xludf.IFS(F20="Vehículo - Uso individual","Auto",F20="Vehículo - Uso compartido","Auto",F20="Transporte público/bus de acercamiento","Bus",F20="Moto","Moto",F20="Bicicleta o caminando","Bicicleta",F20="Ninguno, pues realicé 100% teletrabajo","No aplica",F20="Moto eléctrica","Moto eléctrica",F20="Vehículo eléctrico - Uso Individual","Vehículo eléctrico",F20="Vehículo eléctrico - Uso Compartido","Vehículo eléctrico")</f>
        <v>#NAME?</v>
      </c>
      <c r="J20" s="486">
        <v>1</v>
      </c>
      <c r="K20" s="1324" t="e">
        <f t="shared" ca="1" si="0"/>
        <v>#NAME?</v>
      </c>
      <c r="L20" s="1325">
        <f ca="1">+IFERROR(VLOOKUP(I20,'Factores Emisión EDGE'!$K$267:$L$272,2,0),0)</f>
        <v>0</v>
      </c>
      <c r="M20" s="1325" t="e">
        <f t="shared" ca="1" si="1"/>
        <v>#NAME?</v>
      </c>
      <c r="N20" s="486" t="s">
        <v>3043</v>
      </c>
      <c r="O20" s="1312">
        <f>+COUNTIF(N2:N588,"externo")</f>
        <v>225</v>
      </c>
      <c r="P20" s="1330">
        <f t="shared" si="2"/>
        <v>0.38330494037478707</v>
      </c>
    </row>
    <row r="21" spans="1:16" ht="15.75" customHeight="1">
      <c r="A21" s="1314">
        <v>44939.538276192128</v>
      </c>
      <c r="B21" s="1310" t="s">
        <v>3090</v>
      </c>
      <c r="C21" s="1310" t="s">
        <v>3091</v>
      </c>
      <c r="D21" s="1310" t="s">
        <v>3048</v>
      </c>
      <c r="E21" s="1310" t="s">
        <v>3066</v>
      </c>
      <c r="F21" s="1310" t="s">
        <v>1995</v>
      </c>
      <c r="G21" s="1326">
        <v>63</v>
      </c>
      <c r="H21" s="486" t="e">
        <f t="array" aca="1" ref="H21" ca="1">+_xludf.IFS(E21="100% Presencial",1, E21="20% Teletrabajo (4 días a la semana)",0.8,E21="40% Teletrabajo (3 días a la semana)",0.6,E21="60% Teletrabajo (2 días a la semana)",0.4,E21="80% Teletrabajo (1 día a la semana)",0.2,E21="100% Teletrabajo",0)</f>
        <v>#NAME?</v>
      </c>
      <c r="I21" s="486" t="e">
        <f t="array" aca="1" ref="I21" ca="1">+_xludf.IFS(F21="Vehículo - Uso individual","Auto",F21="Vehículo - Uso compartido","Auto",F21="Transporte público/bus de acercamiento","Bus",F21="Moto","Moto",F21="Bicicleta o caminando","Bicicleta",F21="Ninguno, pues realicé 100% teletrabajo","No aplica",F21="Moto eléctrica","Moto eléctrica",F21="Vehículo eléctrico - Uso Individual","Vehículo eléctrico",F21="Vehículo eléctrico - Uso Compartido","Vehículo eléctrico")</f>
        <v>#NAME?</v>
      </c>
      <c r="J21" s="486">
        <v>0.25</v>
      </c>
      <c r="K21" s="1324" t="e">
        <f t="shared" ca="1" si="0"/>
        <v>#NAME?</v>
      </c>
      <c r="L21" s="1325">
        <f ca="1">+IFERROR(VLOOKUP(I21,'Factores Emisión EDGE'!$K$267:$L$272,2,0),0)</f>
        <v>0</v>
      </c>
      <c r="M21" s="1325" t="e">
        <f t="shared" ca="1" si="1"/>
        <v>#NAME?</v>
      </c>
      <c r="N21" s="486" t="s">
        <v>3043</v>
      </c>
      <c r="O21" s="1312">
        <f>+SUM(O19:O20)</f>
        <v>587</v>
      </c>
      <c r="P21" s="1312"/>
    </row>
    <row r="22" spans="1:16" ht="15.75" customHeight="1">
      <c r="A22" s="1314">
        <v>44939.395506388886</v>
      </c>
      <c r="B22" s="1310" t="s">
        <v>3092</v>
      </c>
      <c r="C22" s="1310" t="s">
        <v>2494</v>
      </c>
      <c r="D22" s="1310" t="s">
        <v>3048</v>
      </c>
      <c r="E22" s="1310" t="s">
        <v>3042</v>
      </c>
      <c r="F22" s="1310" t="s">
        <v>3055</v>
      </c>
      <c r="G22" s="1326">
        <v>60</v>
      </c>
      <c r="H22" s="486" t="e">
        <f t="array" aca="1" ref="H22" ca="1">+_xludf.IFS(E22="100% Presencial",1, E22="20% Teletrabajo (4 días a la semana)",0.8,E22="40% Teletrabajo (3 días a la semana)",0.6,E22="60% Teletrabajo (2 días a la semana)",0.4,E22="80% Teletrabajo (1 día a la semana)",0.2,E22="100% Teletrabajo",0)</f>
        <v>#NAME?</v>
      </c>
      <c r="I22" s="486" t="e">
        <f t="array" aca="1" ref="I22" ca="1">+_xludf.IFS(F22="Vehículo - Uso individual","Auto",F22="Vehículo - Uso compartido","Auto",F22="Transporte público/bus de acercamiento","Bus",F22="Moto","Moto",F22="Bicicleta o caminando","Bicicleta",F22="Ninguno, pues realicé 100% teletrabajo","No aplica",F22="Moto eléctrica","Moto eléctrica",F22="Vehículo eléctrico - Uso Individual","Vehículo eléctrico",F22="Vehículo eléctrico - Uso Compartido","Vehículo eléctrico")</f>
        <v>#NAME?</v>
      </c>
      <c r="J22" s="486">
        <v>1</v>
      </c>
      <c r="K22" s="1324" t="e">
        <f t="shared" ca="1" si="0"/>
        <v>#NAME?</v>
      </c>
      <c r="L22" s="1325">
        <f ca="1">+IFERROR(VLOOKUP(I22,'Factores Emisión EDGE'!$K$267:$L$272,2,0),0)</f>
        <v>0</v>
      </c>
      <c r="M22" s="1325" t="e">
        <f t="shared" ca="1" si="1"/>
        <v>#NAME?</v>
      </c>
      <c r="N22" s="486" t="s">
        <v>3043</v>
      </c>
      <c r="O22" s="1312"/>
      <c r="P22" s="1312"/>
    </row>
    <row r="23" spans="1:16" ht="15.75" customHeight="1">
      <c r="A23" s="1314">
        <v>44939.664519259255</v>
      </c>
      <c r="B23" s="1310" t="s">
        <v>2775</v>
      </c>
      <c r="C23" s="1310" t="s">
        <v>2776</v>
      </c>
      <c r="D23" s="1310" t="s">
        <v>3063</v>
      </c>
      <c r="E23" s="1310" t="s">
        <v>883</v>
      </c>
      <c r="F23" s="1310" t="s">
        <v>1952</v>
      </c>
      <c r="G23" s="1326">
        <v>60</v>
      </c>
      <c r="H23" s="486" t="e">
        <f t="array" aca="1" ref="H23" ca="1">+_xludf.IFS(E23="100% Presencial",1, E23="20% Teletrabajo (4 días a la semana)",0.8,E23="40% Teletrabajo (3 días a la semana)",0.6,E23="60% Teletrabajo (2 días a la semana)",0.4,E23="80% Teletrabajo (1 día a la semana)",0.2,E23="100% Teletrabajo",0)</f>
        <v>#NAME?</v>
      </c>
      <c r="I23" s="486" t="e">
        <f t="array" aca="1" ref="I23" ca="1">+_xludf.IFS(F23="Vehículo - Uso individual","Auto",F23="Vehículo - Uso compartido","Auto",F23="Transporte público/bus de acercamiento","Bus",F23="Moto","Moto",F23="Bicicleta o caminando","Bicicleta",F23="Ninguno, pues realicé 100% teletrabajo","No aplica",F23="Moto eléctrica","Moto eléctrica",F23="Vehículo eléctrico - Uso Individual","Vehículo eléctrico",F23="Vehículo eléctrico - Uso Compartido","Vehículo eléctrico")</f>
        <v>#NAME?</v>
      </c>
      <c r="J23" s="486">
        <v>1</v>
      </c>
      <c r="K23" s="1324" t="e">
        <f t="shared" ca="1" si="0"/>
        <v>#NAME?</v>
      </c>
      <c r="L23" s="1325">
        <f ca="1">+IFERROR(VLOOKUP(I23,'Factores Emisión EDGE'!$K$267:$L$272,2,0),0)</f>
        <v>0</v>
      </c>
      <c r="M23" s="1325" t="e">
        <f t="shared" ca="1" si="1"/>
        <v>#NAME?</v>
      </c>
      <c r="N23" s="486" t="s">
        <v>3043</v>
      </c>
      <c r="O23" s="1312"/>
      <c r="P23" s="1312"/>
    </row>
    <row r="24" spans="1:16" ht="15.75" customHeight="1">
      <c r="A24" s="1314">
        <v>44929.898680011574</v>
      </c>
      <c r="B24" s="1310" t="s">
        <v>2671</v>
      </c>
      <c r="C24" s="1310" t="s">
        <v>2672</v>
      </c>
      <c r="D24" s="1310" t="s">
        <v>3048</v>
      </c>
      <c r="E24" s="1310" t="s">
        <v>883</v>
      </c>
      <c r="F24" s="1310" t="s">
        <v>1995</v>
      </c>
      <c r="G24" s="1326">
        <v>52</v>
      </c>
      <c r="H24" s="486" t="e">
        <f t="array" aca="1" ref="H24" ca="1">+_xludf.IFS(E24="100% Presencial",1, E24="20% Teletrabajo (4 días a la semana)",0.8,E24="40% Teletrabajo (3 días a la semana)",0.6,E24="60% Teletrabajo (2 días a la semana)",0.4,E24="80% Teletrabajo (1 día a la semana)",0.2,E24="100% Teletrabajo",0)</f>
        <v>#NAME?</v>
      </c>
      <c r="I24" s="486" t="e">
        <f t="array" aca="1" ref="I24" ca="1">+_xludf.IFS(F24="Vehículo - Uso individual","Auto",F24="Vehículo - Uso compartido","Auto",F24="Transporte público/bus de acercamiento","Bus",F24="Moto","Moto",F24="Bicicleta o caminando","Bicicleta",F24="Ninguno, pues realicé 100% teletrabajo","No aplica",F24="Moto eléctrica","Moto eléctrica",F24="Vehículo eléctrico - Uso Individual","Vehículo eléctrico",F24="Vehículo eléctrico - Uso Compartido","Vehículo eléctrico")</f>
        <v>#NAME?</v>
      </c>
      <c r="J24" s="486">
        <v>0.25</v>
      </c>
      <c r="K24" s="1324" t="e">
        <f t="shared" ca="1" si="0"/>
        <v>#NAME?</v>
      </c>
      <c r="L24" s="1325">
        <f ca="1">+IFERROR(VLOOKUP(I24,'Factores Emisión EDGE'!$K$267:$L$272,2,0),0)</f>
        <v>0</v>
      </c>
      <c r="M24" s="1325" t="e">
        <f t="shared" ca="1" si="1"/>
        <v>#NAME?</v>
      </c>
      <c r="N24" s="486" t="s">
        <v>3043</v>
      </c>
      <c r="O24" s="1312"/>
      <c r="P24" s="1312"/>
    </row>
    <row r="25" spans="1:16" ht="15.75" customHeight="1">
      <c r="A25" s="1314">
        <v>44929.486084201388</v>
      </c>
      <c r="B25" s="1310" t="s">
        <v>170</v>
      </c>
      <c r="C25" s="1310" t="s">
        <v>2429</v>
      </c>
      <c r="D25" s="1310" t="s">
        <v>3046</v>
      </c>
      <c r="E25" s="1310" t="s">
        <v>885</v>
      </c>
      <c r="F25" s="1310" t="s">
        <v>1952</v>
      </c>
      <c r="G25" s="1326">
        <v>50</v>
      </c>
      <c r="H25" s="486" t="e">
        <f t="array" aca="1" ref="H25" ca="1">+_xludf.IFS(E25="100% Presencial",1, E25="20% Teletrabajo (4 días a la semana)",0.8,E25="40% Teletrabajo (3 días a la semana)",0.6,E25="60% Teletrabajo (2 días a la semana)",0.4,E25="80% Teletrabajo (1 día a la semana)",0.2,E25="100% Teletrabajo",0)</f>
        <v>#NAME?</v>
      </c>
      <c r="I25" s="486" t="e">
        <f t="array" aca="1" ref="I25" ca="1">+_xludf.IFS(F25="Vehículo - Uso individual","Auto",F25="Vehículo - Uso compartido","Auto",F25="Transporte público/bus de acercamiento","Bus",F25="Moto","Moto",F25="Bicicleta o caminando","Bicicleta",F25="Ninguno, pues realicé 100% teletrabajo","No aplica",F25="Moto eléctrica","Moto eléctrica",F25="Vehículo eléctrico - Uso Individual","Vehículo eléctrico",F25="Vehículo eléctrico - Uso Compartido","Vehículo eléctrico")</f>
        <v>#NAME?</v>
      </c>
      <c r="J25" s="486">
        <v>1</v>
      </c>
      <c r="K25" s="1324" t="e">
        <f t="shared" ca="1" si="0"/>
        <v>#NAME?</v>
      </c>
      <c r="L25" s="1325">
        <f ca="1">+IFERROR(VLOOKUP(I25,'Factores Emisión EDGE'!$K$267:$L$272,2,0),0)</f>
        <v>0</v>
      </c>
      <c r="M25" s="1325" t="e">
        <f t="shared" ca="1" si="1"/>
        <v>#NAME?</v>
      </c>
      <c r="N25" s="486" t="s">
        <v>3043</v>
      </c>
      <c r="O25" s="1312"/>
      <c r="P25" s="1312"/>
    </row>
    <row r="26" spans="1:16" ht="15.75" customHeight="1">
      <c r="A26" s="1314">
        <v>44939.378462962966</v>
      </c>
      <c r="B26" s="1310" t="s">
        <v>3093</v>
      </c>
      <c r="C26" s="1310" t="s">
        <v>3094</v>
      </c>
      <c r="D26" s="1310" t="s">
        <v>3063</v>
      </c>
      <c r="E26" s="1310" t="s">
        <v>3042</v>
      </c>
      <c r="F26" s="1310" t="s">
        <v>1952</v>
      </c>
      <c r="G26" s="1326">
        <v>50</v>
      </c>
      <c r="H26" s="486" t="e">
        <f t="array" aca="1" ref="H26" ca="1">+_xludf.IFS(E26="100% Presencial",1, E26="20% Teletrabajo (4 días a la semana)",0.8,E26="40% Teletrabajo (3 días a la semana)",0.6,E26="60% Teletrabajo (2 días a la semana)",0.4,E26="80% Teletrabajo (1 día a la semana)",0.2,E26="100% Teletrabajo",0)</f>
        <v>#NAME?</v>
      </c>
      <c r="I26" s="486" t="e">
        <f t="array" aca="1" ref="I26" ca="1">+_xludf.IFS(F26="Vehículo - Uso individual","Auto",F26="Vehículo - Uso compartido","Auto",F26="Transporte público/bus de acercamiento","Bus",F26="Moto","Moto",F26="Bicicleta o caminando","Bicicleta",F26="Ninguno, pues realicé 100% teletrabajo","No aplica",F26="Moto eléctrica","Moto eléctrica",F26="Vehículo eléctrico - Uso Individual","Vehículo eléctrico",F26="Vehículo eléctrico - Uso Compartido","Vehículo eléctrico")</f>
        <v>#NAME?</v>
      </c>
      <c r="J26" s="486">
        <v>1</v>
      </c>
      <c r="K26" s="1324" t="e">
        <f t="shared" ca="1" si="0"/>
        <v>#NAME?</v>
      </c>
      <c r="L26" s="1325">
        <f ca="1">+IFERROR(VLOOKUP(I26,'Factores Emisión EDGE'!$K$267:$L$272,2,0),0)</f>
        <v>0</v>
      </c>
      <c r="M26" s="1325" t="e">
        <f t="shared" ca="1" si="1"/>
        <v>#NAME?</v>
      </c>
      <c r="N26" s="486" t="s">
        <v>3043</v>
      </c>
      <c r="O26" s="1310"/>
      <c r="P26" s="1312"/>
    </row>
    <row r="27" spans="1:16" ht="15.75" customHeight="1">
      <c r="A27" s="1314">
        <v>44939.386190405094</v>
      </c>
      <c r="B27" s="1310" t="s">
        <v>3095</v>
      </c>
      <c r="C27" s="1310" t="s">
        <v>3096</v>
      </c>
      <c r="D27" s="1310" t="s">
        <v>3048</v>
      </c>
      <c r="E27" s="1310" t="s">
        <v>885</v>
      </c>
      <c r="F27" s="1310" t="s">
        <v>1952</v>
      </c>
      <c r="G27" s="1326">
        <v>50</v>
      </c>
      <c r="H27" s="486" t="e">
        <f t="array" aca="1" ref="H27" ca="1">+_xludf.IFS(E27="100% Presencial",1, E27="20% Teletrabajo (4 días a la semana)",0.8,E27="40% Teletrabajo (3 días a la semana)",0.6,E27="60% Teletrabajo (2 días a la semana)",0.4,E27="80% Teletrabajo (1 día a la semana)",0.2,E27="100% Teletrabajo",0)</f>
        <v>#NAME?</v>
      </c>
      <c r="I27" s="486" t="e">
        <f t="array" aca="1" ref="I27" ca="1">+_xludf.IFS(F27="Vehículo - Uso individual","Auto",F27="Vehículo - Uso compartido","Auto",F27="Transporte público/bus de acercamiento","Bus",F27="Moto","Moto",F27="Bicicleta o caminando","Bicicleta",F27="Ninguno, pues realicé 100% teletrabajo","No aplica",F27="Moto eléctrica","Moto eléctrica",F27="Vehículo eléctrico - Uso Individual","Vehículo eléctrico",F27="Vehículo eléctrico - Uso Compartido","Vehículo eléctrico")</f>
        <v>#NAME?</v>
      </c>
      <c r="J27" s="486">
        <v>1</v>
      </c>
      <c r="K27" s="1324" t="e">
        <f t="shared" ca="1" si="0"/>
        <v>#NAME?</v>
      </c>
      <c r="L27" s="1325">
        <f ca="1">+IFERROR(VLOOKUP(I27,'Factores Emisión EDGE'!$K$267:$L$272,2,0),0)</f>
        <v>0</v>
      </c>
      <c r="M27" s="1325" t="e">
        <f t="shared" ca="1" si="1"/>
        <v>#NAME?</v>
      </c>
      <c r="N27" s="486" t="s">
        <v>3043</v>
      </c>
      <c r="O27" s="1312"/>
      <c r="P27" s="1312"/>
    </row>
    <row r="28" spans="1:16" ht="15.75" customHeight="1">
      <c r="A28" s="1314">
        <v>44939.40513381944</v>
      </c>
      <c r="B28" s="1310" t="s">
        <v>3097</v>
      </c>
      <c r="C28" s="1310" t="s">
        <v>2433</v>
      </c>
      <c r="D28" s="1310" t="s">
        <v>3048</v>
      </c>
      <c r="E28" s="1310" t="s">
        <v>885</v>
      </c>
      <c r="F28" s="1310" t="s">
        <v>3055</v>
      </c>
      <c r="G28" s="1326">
        <v>50</v>
      </c>
      <c r="H28" s="486" t="e">
        <f t="array" aca="1" ref="H28" ca="1">+_xludf.IFS(E28="100% Presencial",1, E28="20% Teletrabajo (4 días a la semana)",0.8,E28="40% Teletrabajo (3 días a la semana)",0.6,E28="60% Teletrabajo (2 días a la semana)",0.4,E28="80% Teletrabajo (1 día a la semana)",0.2,E28="100% Teletrabajo",0)</f>
        <v>#NAME?</v>
      </c>
      <c r="I28" s="486" t="e">
        <f t="array" aca="1" ref="I28" ca="1">+_xludf.IFS(F28="Vehículo - Uso individual","Auto",F28="Vehículo - Uso compartido","Auto",F28="Transporte público/bus de acercamiento","Bus",F28="Moto","Moto",F28="Bicicleta o caminando","Bicicleta",F28="Ninguno, pues realicé 100% teletrabajo","No aplica",F28="Moto eléctrica","Moto eléctrica",F28="Vehículo eléctrico - Uso Individual","Vehículo eléctrico",F28="Vehículo eléctrico - Uso Compartido","Vehículo eléctrico")</f>
        <v>#NAME?</v>
      </c>
      <c r="J28" s="486">
        <v>1</v>
      </c>
      <c r="K28" s="1324" t="e">
        <f t="shared" ca="1" si="0"/>
        <v>#NAME?</v>
      </c>
      <c r="L28" s="1325">
        <f ca="1">+IFERROR(VLOOKUP(I28,'Factores Emisión EDGE'!$K$267:$L$272,2,0),0)</f>
        <v>0</v>
      </c>
      <c r="M28" s="1325" t="e">
        <f t="shared" ca="1" si="1"/>
        <v>#NAME?</v>
      </c>
      <c r="N28" s="486" t="s">
        <v>3043</v>
      </c>
      <c r="O28" s="1312"/>
      <c r="P28" s="1312"/>
    </row>
    <row r="29" spans="1:16" ht="15.75" customHeight="1">
      <c r="A29" s="1314">
        <v>44939.601320798611</v>
      </c>
      <c r="B29" s="1310" t="s">
        <v>3098</v>
      </c>
      <c r="C29" s="1310" t="s">
        <v>3099</v>
      </c>
      <c r="D29" s="1310" t="s">
        <v>3048</v>
      </c>
      <c r="E29" s="1310" t="s">
        <v>3049</v>
      </c>
      <c r="F29" s="1310" t="s">
        <v>1952</v>
      </c>
      <c r="G29" s="1326">
        <v>45</v>
      </c>
      <c r="H29" s="486" t="e">
        <f t="array" aca="1" ref="H29" ca="1">+_xludf.IFS(E29="100% Presencial",1, E29="20% Teletrabajo (4 días a la semana)",0.8,E29="40% Teletrabajo (3 días a la semana)",0.6,E29="60% Teletrabajo (2 días a la semana)",0.4,E29="80% Teletrabajo (1 día a la semana)",0.2,E29="100% Teletrabajo",0)</f>
        <v>#NAME?</v>
      </c>
      <c r="I29" s="486" t="e">
        <f t="array" aca="1" ref="I29" ca="1">+_xludf.IFS(F29="Vehículo - Uso individual","Auto",F29="Vehículo - Uso compartido","Auto",F29="Transporte público/bus de acercamiento","Bus",F29="Moto","Moto",F29="Bicicleta o caminando","Bicicleta",F29="Ninguno, pues realicé 100% teletrabajo","No aplica",F29="Moto eléctrica","Moto eléctrica",F29="Vehículo eléctrico - Uso Individual","Vehículo eléctrico",F29="Vehículo eléctrico - Uso Compartido","Vehículo eléctrico")</f>
        <v>#NAME?</v>
      </c>
      <c r="J29" s="486">
        <v>1</v>
      </c>
      <c r="K29" s="1324" t="e">
        <f t="shared" ca="1" si="0"/>
        <v>#NAME?</v>
      </c>
      <c r="L29" s="1325">
        <f ca="1">+IFERROR(VLOOKUP(I29,'Factores Emisión EDGE'!$K$267:$L$272,2,0),0)</f>
        <v>0</v>
      </c>
      <c r="M29" s="1325" t="e">
        <f t="shared" ca="1" si="1"/>
        <v>#NAME?</v>
      </c>
      <c r="N29" s="486" t="s">
        <v>3043</v>
      </c>
      <c r="O29" s="1312"/>
      <c r="P29" s="1312"/>
    </row>
    <row r="30" spans="1:16" ht="15.75" customHeight="1">
      <c r="A30" s="1314">
        <v>44939.645759687497</v>
      </c>
      <c r="B30" s="1310" t="s">
        <v>2172</v>
      </c>
      <c r="C30" s="1310" t="s">
        <v>2173</v>
      </c>
      <c r="D30" s="1310" t="s">
        <v>3048</v>
      </c>
      <c r="E30" s="1310" t="s">
        <v>885</v>
      </c>
      <c r="F30" s="1310" t="s">
        <v>1952</v>
      </c>
      <c r="G30" s="1326">
        <v>45</v>
      </c>
      <c r="H30" s="486" t="e">
        <f t="array" aca="1" ref="H30" ca="1">+_xludf.IFS(E30="100% Presencial",1, E30="20% Teletrabajo (4 días a la semana)",0.8,E30="40% Teletrabajo (3 días a la semana)",0.6,E30="60% Teletrabajo (2 días a la semana)",0.4,E30="80% Teletrabajo (1 día a la semana)",0.2,E30="100% Teletrabajo",0)</f>
        <v>#NAME?</v>
      </c>
      <c r="I30" s="486" t="e">
        <f t="array" aca="1" ref="I30" ca="1">+_xludf.IFS(F30="Vehículo - Uso individual","Auto",F30="Vehículo - Uso compartido","Auto",F30="Transporte público/bus de acercamiento","Bus",F30="Moto","Moto",F30="Bicicleta o caminando","Bicicleta",F30="Ninguno, pues realicé 100% teletrabajo","No aplica",F30="Moto eléctrica","Moto eléctrica",F30="Vehículo eléctrico - Uso Individual","Vehículo eléctrico",F30="Vehículo eléctrico - Uso Compartido","Vehículo eléctrico")</f>
        <v>#NAME?</v>
      </c>
      <c r="J30" s="486">
        <v>1</v>
      </c>
      <c r="K30" s="1324" t="e">
        <f t="shared" ca="1" si="0"/>
        <v>#NAME?</v>
      </c>
      <c r="L30" s="1325">
        <f ca="1">+IFERROR(VLOOKUP(I30,'Factores Emisión EDGE'!$K$267:$L$272,2,0),0)</f>
        <v>0</v>
      </c>
      <c r="M30" s="1325" t="e">
        <f t="shared" ca="1" si="1"/>
        <v>#NAME?</v>
      </c>
      <c r="N30" s="486" t="s">
        <v>3043</v>
      </c>
      <c r="O30" s="1312"/>
      <c r="P30" s="1312"/>
    </row>
    <row r="31" spans="1:16" ht="15.75" customHeight="1">
      <c r="A31" s="1314">
        <v>44929.533236250005</v>
      </c>
      <c r="B31" s="1310" t="s">
        <v>3098</v>
      </c>
      <c r="C31" s="1310" t="s">
        <v>3099</v>
      </c>
      <c r="D31" s="1310" t="s">
        <v>3048</v>
      </c>
      <c r="E31" s="1310" t="s">
        <v>3049</v>
      </c>
      <c r="F31" s="1310" t="s">
        <v>1952</v>
      </c>
      <c r="G31" s="1326">
        <v>43</v>
      </c>
      <c r="H31" s="486" t="e">
        <f t="array" aca="1" ref="H31" ca="1">+_xludf.IFS(E31="100% Presencial",1, E31="20% Teletrabajo (4 días a la semana)",0.8,E31="40% Teletrabajo (3 días a la semana)",0.6,E31="60% Teletrabajo (2 días a la semana)",0.4,E31="80% Teletrabajo (1 día a la semana)",0.2,E31="100% Teletrabajo",0)</f>
        <v>#NAME?</v>
      </c>
      <c r="I31" s="486" t="e">
        <f t="array" aca="1" ref="I31" ca="1">+_xludf.IFS(F31="Vehículo - Uso individual","Auto",F31="Vehículo - Uso compartido","Auto",F31="Transporte público/bus de acercamiento","Bus",F31="Moto","Moto",F31="Bicicleta o caminando","Bicicleta",F31="Ninguno, pues realicé 100% teletrabajo","No aplica",F31="Moto eléctrica","Moto eléctrica",F31="Vehículo eléctrico - Uso Individual","Vehículo eléctrico",F31="Vehículo eléctrico - Uso Compartido","Vehículo eléctrico")</f>
        <v>#NAME?</v>
      </c>
      <c r="J31" s="486">
        <v>1</v>
      </c>
      <c r="K31" s="1324" t="e">
        <f t="shared" ca="1" si="0"/>
        <v>#NAME?</v>
      </c>
      <c r="L31" s="1325">
        <f ca="1">+IFERROR(VLOOKUP(I31,'Factores Emisión EDGE'!$K$267:$L$272,2,0),0)</f>
        <v>0</v>
      </c>
      <c r="M31" s="1325" t="e">
        <f t="shared" ca="1" si="1"/>
        <v>#NAME?</v>
      </c>
      <c r="N31" s="486" t="s">
        <v>3043</v>
      </c>
      <c r="O31" s="1312"/>
      <c r="P31" s="1312"/>
    </row>
    <row r="32" spans="1:16" ht="15.75" customHeight="1">
      <c r="A32" s="1314">
        <v>44939.391901377312</v>
      </c>
      <c r="B32" s="1310" t="s">
        <v>3100</v>
      </c>
      <c r="C32" s="1310" t="s">
        <v>3101</v>
      </c>
      <c r="D32" s="1310" t="s">
        <v>3048</v>
      </c>
      <c r="E32" s="1310" t="s">
        <v>3066</v>
      </c>
      <c r="F32" s="1310" t="s">
        <v>1952</v>
      </c>
      <c r="G32" s="1326">
        <v>43</v>
      </c>
      <c r="H32" s="486" t="e">
        <f t="array" aca="1" ref="H32" ca="1">+_xludf.IFS(E32="100% Presencial",1, E32="20% Teletrabajo (4 días a la semana)",0.8,E32="40% Teletrabajo (3 días a la semana)",0.6,E32="60% Teletrabajo (2 días a la semana)",0.4,E32="80% Teletrabajo (1 día a la semana)",0.2,E32="100% Teletrabajo",0)</f>
        <v>#NAME?</v>
      </c>
      <c r="I32" s="486" t="e">
        <f t="array" aca="1" ref="I32" ca="1">+_xludf.IFS(F32="Vehículo - Uso individual","Auto",F32="Vehículo - Uso compartido","Auto",F32="Transporte público/bus de acercamiento","Bus",F32="Moto","Moto",F32="Bicicleta o caminando","Bicicleta",F32="Ninguno, pues realicé 100% teletrabajo","No aplica",F32="Moto eléctrica","Moto eléctrica",F32="Vehículo eléctrico - Uso Individual","Vehículo eléctrico",F32="Vehículo eléctrico - Uso Compartido","Vehículo eléctrico")</f>
        <v>#NAME?</v>
      </c>
      <c r="J32" s="486">
        <v>1</v>
      </c>
      <c r="K32" s="1324" t="e">
        <f t="shared" ca="1" si="0"/>
        <v>#NAME?</v>
      </c>
      <c r="L32" s="1325">
        <f ca="1">+IFERROR(VLOOKUP(I32,'Factores Emisión EDGE'!$K$267:$L$272,2,0),0)</f>
        <v>0</v>
      </c>
      <c r="M32" s="1325" t="e">
        <f t="shared" ca="1" si="1"/>
        <v>#NAME?</v>
      </c>
      <c r="N32" s="486" t="s">
        <v>3043</v>
      </c>
      <c r="O32" s="1312"/>
      <c r="P32" s="1312"/>
    </row>
    <row r="33" spans="1:16" ht="15.75" customHeight="1">
      <c r="A33" s="1314">
        <v>44930.469686979166</v>
      </c>
      <c r="B33" s="1310" t="s">
        <v>3102</v>
      </c>
      <c r="C33" s="1310" t="s">
        <v>3103</v>
      </c>
      <c r="D33" s="1310" t="s">
        <v>3048</v>
      </c>
      <c r="E33" s="1310" t="s">
        <v>3042</v>
      </c>
      <c r="F33" s="1310" t="s">
        <v>3055</v>
      </c>
      <c r="G33" s="1326">
        <v>42</v>
      </c>
      <c r="H33" s="486" t="e">
        <f t="array" aca="1" ref="H33" ca="1">+_xludf.IFS(E33="100% Presencial",1, E33="20% Teletrabajo (4 días a la semana)",0.8,E33="40% Teletrabajo (3 días a la semana)",0.6,E33="60% Teletrabajo (2 días a la semana)",0.4,E33="80% Teletrabajo (1 día a la semana)",0.2,E33="100% Teletrabajo",0)</f>
        <v>#NAME?</v>
      </c>
      <c r="I33" s="486" t="e">
        <f t="array" aca="1" ref="I33" ca="1">+_xludf.IFS(F33="Vehículo - Uso individual","Auto",F33="Vehículo - Uso compartido","Auto",F33="Transporte público/bus de acercamiento","Bus",F33="Moto","Moto",F33="Bicicleta o caminando","Bicicleta",F33="Ninguno, pues realicé 100% teletrabajo","No aplica",F33="Moto eléctrica","Moto eléctrica",F33="Vehículo eléctrico - Uso Individual","Vehículo eléctrico",F33="Vehículo eléctrico - Uso Compartido","Vehículo eléctrico")</f>
        <v>#NAME?</v>
      </c>
      <c r="J33" s="486">
        <v>1</v>
      </c>
      <c r="K33" s="1324" t="e">
        <f t="shared" ca="1" si="0"/>
        <v>#NAME?</v>
      </c>
      <c r="L33" s="1325">
        <f ca="1">+IFERROR(VLOOKUP(I33,'Factores Emisión EDGE'!$K$267:$L$272,2,0),0)</f>
        <v>0</v>
      </c>
      <c r="M33" s="1325" t="e">
        <f t="shared" ca="1" si="1"/>
        <v>#NAME?</v>
      </c>
      <c r="N33" s="486" t="s">
        <v>3056</v>
      </c>
      <c r="O33" s="1312"/>
      <c r="P33" s="1312"/>
    </row>
    <row r="34" spans="1:16" ht="15.75" customHeight="1">
      <c r="A34" s="1314">
        <v>44929.498362824073</v>
      </c>
      <c r="B34" s="1310" t="s">
        <v>2128</v>
      </c>
      <c r="C34" s="1310" t="s">
        <v>2129</v>
      </c>
      <c r="D34" s="1310" t="s">
        <v>3048</v>
      </c>
      <c r="E34" s="1310" t="s">
        <v>885</v>
      </c>
      <c r="F34" s="1310" t="s">
        <v>3055</v>
      </c>
      <c r="G34" s="1326">
        <v>41</v>
      </c>
      <c r="H34" s="486" t="e">
        <f t="array" aca="1" ref="H34" ca="1">+_xludf.IFS(E34="100% Presencial",1, E34="20% Teletrabajo (4 días a la semana)",0.8,E34="40% Teletrabajo (3 días a la semana)",0.6,E34="60% Teletrabajo (2 días a la semana)",0.4,E34="80% Teletrabajo (1 día a la semana)",0.2,E34="100% Teletrabajo",0)</f>
        <v>#NAME?</v>
      </c>
      <c r="I34" s="486" t="e">
        <f t="array" aca="1" ref="I34" ca="1">+_xludf.IFS(F34="Vehículo - Uso individual","Auto",F34="Vehículo - Uso compartido","Auto",F34="Transporte público/bus de acercamiento","Bus",F34="Moto","Moto",F34="Bicicleta o caminando","Bicicleta",F34="Ninguno, pues realicé 100% teletrabajo","No aplica",F34="Moto eléctrica","Moto eléctrica",F34="Vehículo eléctrico - Uso Individual","Vehículo eléctrico",F34="Vehículo eléctrico - Uso Compartido","Vehículo eléctrico")</f>
        <v>#NAME?</v>
      </c>
      <c r="J34" s="486">
        <v>1</v>
      </c>
      <c r="K34" s="1324" t="e">
        <f t="shared" ca="1" si="0"/>
        <v>#NAME?</v>
      </c>
      <c r="L34" s="1325">
        <f ca="1">+IFERROR(VLOOKUP(I34,'Factores Emisión EDGE'!$K$267:$L$272,2,0),0)</f>
        <v>0</v>
      </c>
      <c r="M34" s="1325" t="e">
        <f t="shared" ca="1" si="1"/>
        <v>#NAME?</v>
      </c>
      <c r="N34" s="486" t="s">
        <v>3043</v>
      </c>
      <c r="O34" s="1312"/>
      <c r="P34" s="1312"/>
    </row>
    <row r="35" spans="1:16" ht="15.75" customHeight="1">
      <c r="A35" s="1314">
        <v>44939.377530937505</v>
      </c>
      <c r="B35" s="1310" t="s">
        <v>3104</v>
      </c>
      <c r="C35" s="1310" t="s">
        <v>3105</v>
      </c>
      <c r="D35" s="1310" t="s">
        <v>3048</v>
      </c>
      <c r="E35" s="1310" t="s">
        <v>883</v>
      </c>
      <c r="F35" s="1310" t="s">
        <v>3055</v>
      </c>
      <c r="G35" s="1326">
        <v>40</v>
      </c>
      <c r="H35" s="486" t="e">
        <f t="array" aca="1" ref="H35" ca="1">+_xludf.IFS(E35="100% Presencial",1, E35="20% Teletrabajo (4 días a la semana)",0.8,E35="40% Teletrabajo (3 días a la semana)",0.6,E35="60% Teletrabajo (2 días a la semana)",0.4,E35="80% Teletrabajo (1 día a la semana)",0.2,E35="100% Teletrabajo",0)</f>
        <v>#NAME?</v>
      </c>
      <c r="I35" s="486" t="e">
        <f t="array" aca="1" ref="I35" ca="1">+_xludf.IFS(F35="Vehículo - Uso individual","Auto",F35="Vehículo - Uso compartido","Auto",F35="Transporte público/bus de acercamiento","Bus",F35="Moto","Moto",F35="Bicicleta o caminando","Bicicleta",F35="Ninguno, pues realicé 100% teletrabajo","No aplica",F35="Moto eléctrica","Moto eléctrica",F35="Vehículo eléctrico - Uso Individual","Vehículo eléctrico",F35="Vehículo eléctrico - Uso Compartido","Vehículo eléctrico")</f>
        <v>#NAME?</v>
      </c>
      <c r="J35" s="486">
        <v>1</v>
      </c>
      <c r="K35" s="1324" t="e">
        <f t="shared" ca="1" si="0"/>
        <v>#NAME?</v>
      </c>
      <c r="L35" s="1325">
        <f ca="1">+IFERROR(VLOOKUP(I35,'Factores Emisión EDGE'!$K$267:$L$272,2,0),0)</f>
        <v>0</v>
      </c>
      <c r="M35" s="1325" t="e">
        <f t="shared" ca="1" si="1"/>
        <v>#NAME?</v>
      </c>
      <c r="N35" s="486" t="s">
        <v>3043</v>
      </c>
      <c r="O35" s="1312"/>
      <c r="P35" s="1312"/>
    </row>
    <row r="36" spans="1:16" ht="15.75" customHeight="1">
      <c r="A36" s="1314">
        <v>44939.496486319447</v>
      </c>
      <c r="B36" s="1310" t="s">
        <v>3106</v>
      </c>
      <c r="C36" s="1310" t="s">
        <v>2014</v>
      </c>
      <c r="D36" s="1310" t="s">
        <v>3107</v>
      </c>
      <c r="E36" s="1310" t="s">
        <v>3042</v>
      </c>
      <c r="F36" s="1310" t="s">
        <v>1952</v>
      </c>
      <c r="G36" s="1326">
        <v>40</v>
      </c>
      <c r="H36" s="486" t="e">
        <f t="array" aca="1" ref="H36" ca="1">+_xludf.IFS(E36="100% Presencial",1, E36="20% Teletrabajo (4 días a la semana)",0.8,E36="40% Teletrabajo (3 días a la semana)",0.6,E36="60% Teletrabajo (2 días a la semana)",0.4,E36="80% Teletrabajo (1 día a la semana)",0.2,E36="100% Teletrabajo",0)</f>
        <v>#NAME?</v>
      </c>
      <c r="I36" s="486" t="e">
        <f t="array" aca="1" ref="I36" ca="1">+_xludf.IFS(F36="Vehículo - Uso individual","Auto",F36="Vehículo - Uso compartido","Auto",F36="Transporte público/bus de acercamiento","Bus",F36="Moto","Moto",F36="Bicicleta o caminando","Bicicleta",F36="Ninguno, pues realicé 100% teletrabajo","No aplica",F36="Moto eléctrica","Moto eléctrica",F36="Vehículo eléctrico - Uso Individual","Vehículo eléctrico",F36="Vehículo eléctrico - Uso Compartido","Vehículo eléctrico")</f>
        <v>#NAME?</v>
      </c>
      <c r="J36" s="486">
        <v>1</v>
      </c>
      <c r="K36" s="1324" t="e">
        <f t="shared" ca="1" si="0"/>
        <v>#NAME?</v>
      </c>
      <c r="L36" s="1325">
        <f ca="1">+IFERROR(VLOOKUP(I36,'Factores Emisión EDGE'!$K$267:$L$272,2,0),0)</f>
        <v>0</v>
      </c>
      <c r="M36" s="1325" t="e">
        <f t="shared" ca="1" si="1"/>
        <v>#NAME?</v>
      </c>
      <c r="N36" s="486" t="s">
        <v>3043</v>
      </c>
      <c r="O36" s="1312"/>
      <c r="P36" s="1312"/>
    </row>
    <row r="37" spans="1:16" ht="15.75" customHeight="1">
      <c r="A37" s="1314">
        <v>44938.54834966435</v>
      </c>
      <c r="B37" s="1310" t="s">
        <v>3108</v>
      </c>
      <c r="C37" s="1310" t="s">
        <v>3109</v>
      </c>
      <c r="D37" s="1310" t="s">
        <v>3048</v>
      </c>
      <c r="E37" s="1310" t="s">
        <v>3042</v>
      </c>
      <c r="F37" s="1310" t="s">
        <v>3055</v>
      </c>
      <c r="G37" s="1326">
        <v>40</v>
      </c>
      <c r="H37" s="486" t="e">
        <f t="array" aca="1" ref="H37" ca="1">+_xludf.IFS(E37="100% Presencial",1, E37="20% Teletrabajo (4 días a la semana)",0.8,E37="40% Teletrabajo (3 días a la semana)",0.6,E37="60% Teletrabajo (2 días a la semana)",0.4,E37="80% Teletrabajo (1 día a la semana)",0.2,E37="100% Teletrabajo",0)</f>
        <v>#NAME?</v>
      </c>
      <c r="I37" s="486" t="e">
        <f t="array" aca="1" ref="I37" ca="1">+_xludf.IFS(F37="Vehículo - Uso individual","Auto",F37="Vehículo - Uso compartido","Auto",F37="Transporte público/bus de acercamiento","Bus",F37="Moto","Moto",F37="Bicicleta o caminando","Bicicleta",F37="Ninguno, pues realicé 100% teletrabajo","No aplica",F37="Moto eléctrica","Moto eléctrica",F37="Vehículo eléctrico - Uso Individual","Vehículo eléctrico",F37="Vehículo eléctrico - Uso Compartido","Vehículo eléctrico")</f>
        <v>#NAME?</v>
      </c>
      <c r="J37" s="486">
        <v>1</v>
      </c>
      <c r="K37" s="1324" t="e">
        <f t="shared" ca="1" si="0"/>
        <v>#NAME?</v>
      </c>
      <c r="L37" s="1325">
        <f ca="1">+IFERROR(VLOOKUP(I37,'Factores Emisión EDGE'!$K$267:$L$272,2,0),0)</f>
        <v>0</v>
      </c>
      <c r="M37" s="1325" t="e">
        <f t="shared" ca="1" si="1"/>
        <v>#NAME?</v>
      </c>
      <c r="N37" s="486" t="s">
        <v>3056</v>
      </c>
      <c r="O37" s="1312"/>
      <c r="P37" s="1312"/>
    </row>
    <row r="38" spans="1:16" ht="15.75" customHeight="1">
      <c r="A38" s="1314">
        <v>44929.485061412037</v>
      </c>
      <c r="B38" s="1310" t="s">
        <v>3110</v>
      </c>
      <c r="C38" s="1310" t="s">
        <v>2574</v>
      </c>
      <c r="D38" s="1310" t="s">
        <v>3048</v>
      </c>
      <c r="E38" s="1310" t="s">
        <v>883</v>
      </c>
      <c r="F38" s="1310" t="s">
        <v>1952</v>
      </c>
      <c r="G38" s="1326">
        <v>40</v>
      </c>
      <c r="H38" s="486" t="e">
        <f t="array" aca="1" ref="H38" ca="1">+_xludf.IFS(E38="100% Presencial",1, E38="20% Teletrabajo (4 días a la semana)",0.8,E38="40% Teletrabajo (3 días a la semana)",0.6,E38="60% Teletrabajo (2 días a la semana)",0.4,E38="80% Teletrabajo (1 día a la semana)",0.2,E38="100% Teletrabajo",0)</f>
        <v>#NAME?</v>
      </c>
      <c r="I38" s="486" t="e">
        <f t="array" aca="1" ref="I38" ca="1">+_xludf.IFS(F38="Vehículo - Uso individual","Auto",F38="Vehículo - Uso compartido","Auto",F38="Transporte público/bus de acercamiento","Bus",F38="Moto","Moto",F38="Bicicleta o caminando","Bicicleta",F38="Ninguno, pues realicé 100% teletrabajo","No aplica",F38="Moto eléctrica","Moto eléctrica",F38="Vehículo eléctrico - Uso Individual","Vehículo eléctrico",F38="Vehículo eléctrico - Uso Compartido","Vehículo eléctrico")</f>
        <v>#NAME?</v>
      </c>
      <c r="J38" s="486">
        <v>1</v>
      </c>
      <c r="K38" s="1324" t="e">
        <f t="shared" ca="1" si="0"/>
        <v>#NAME?</v>
      </c>
      <c r="L38" s="1325">
        <f ca="1">+IFERROR(VLOOKUP(I38,'Factores Emisión EDGE'!$K$267:$L$272,2,0),0)</f>
        <v>0</v>
      </c>
      <c r="M38" s="1325" t="e">
        <f t="shared" ca="1" si="1"/>
        <v>#NAME?</v>
      </c>
      <c r="N38" s="486" t="s">
        <v>3043</v>
      </c>
      <c r="O38" s="1312"/>
      <c r="P38" s="1312"/>
    </row>
    <row r="39" spans="1:16" ht="15.75" customHeight="1">
      <c r="A39" s="1314">
        <v>44929.515338495374</v>
      </c>
      <c r="B39" s="1310" t="s">
        <v>2427</v>
      </c>
      <c r="C39" s="1310" t="s">
        <v>2428</v>
      </c>
      <c r="D39" s="1310" t="s">
        <v>3048</v>
      </c>
      <c r="E39" s="1310" t="s">
        <v>883</v>
      </c>
      <c r="F39" s="1310" t="s">
        <v>1995</v>
      </c>
      <c r="G39" s="1326">
        <v>40</v>
      </c>
      <c r="H39" s="486" t="e">
        <f t="array" aca="1" ref="H39" ca="1">+_xludf.IFS(E39="100% Presencial",1, E39="20% Teletrabajo (4 días a la semana)",0.8,E39="40% Teletrabajo (3 días a la semana)",0.6,E39="60% Teletrabajo (2 días a la semana)",0.4,E39="80% Teletrabajo (1 día a la semana)",0.2,E39="100% Teletrabajo",0)</f>
        <v>#NAME?</v>
      </c>
      <c r="I39" s="486" t="e">
        <f t="array" aca="1" ref="I39" ca="1">+_xludf.IFS(F39="Vehículo - Uso individual","Auto",F39="Vehículo - Uso compartido","Auto",F39="Transporte público/bus de acercamiento","Bus",F39="Moto","Moto",F39="Bicicleta o caminando","Bicicleta",F39="Ninguno, pues realicé 100% teletrabajo","No aplica",F39="Moto eléctrica","Moto eléctrica",F39="Vehículo eléctrico - Uso Individual","Vehículo eléctrico",F39="Vehículo eléctrico - Uso Compartido","Vehículo eléctrico")</f>
        <v>#NAME?</v>
      </c>
      <c r="J39" s="486">
        <v>0.25</v>
      </c>
      <c r="K39" s="1324" t="e">
        <f t="shared" ca="1" si="0"/>
        <v>#NAME?</v>
      </c>
      <c r="L39" s="1325">
        <f ca="1">+IFERROR(VLOOKUP(I39,'Factores Emisión EDGE'!$K$267:$L$272,2,0),0)</f>
        <v>0</v>
      </c>
      <c r="M39" s="1325" t="e">
        <f t="shared" ca="1" si="1"/>
        <v>#NAME?</v>
      </c>
      <c r="N39" s="486" t="s">
        <v>3043</v>
      </c>
      <c r="O39" s="1312"/>
      <c r="P39" s="1312"/>
    </row>
    <row r="40" spans="1:16" ht="15.75" customHeight="1">
      <c r="A40" s="1314">
        <v>44931.416930057865</v>
      </c>
      <c r="B40" s="1310" t="s">
        <v>3111</v>
      </c>
      <c r="C40" s="1310" t="s">
        <v>3112</v>
      </c>
      <c r="D40" s="1310" t="s">
        <v>3083</v>
      </c>
      <c r="E40" s="1310" t="s">
        <v>3042</v>
      </c>
      <c r="F40" s="1310" t="s">
        <v>3055</v>
      </c>
      <c r="G40" s="1326">
        <v>40</v>
      </c>
      <c r="H40" s="486" t="e">
        <f t="array" aca="1" ref="H40" ca="1">+_xludf.IFS(E40="100% Presencial",1, E40="20% Teletrabajo (4 días a la semana)",0.8,E40="40% Teletrabajo (3 días a la semana)",0.6,E40="60% Teletrabajo (2 días a la semana)",0.4,E40="80% Teletrabajo (1 día a la semana)",0.2,E40="100% Teletrabajo",0)</f>
        <v>#NAME?</v>
      </c>
      <c r="I40" s="486" t="e">
        <f t="array" aca="1" ref="I40" ca="1">+_xludf.IFS(F40="Vehículo - Uso individual","Auto",F40="Vehículo - Uso compartido","Auto",F40="Transporte público/bus de acercamiento","Bus",F40="Moto","Moto",F40="Bicicleta o caminando","Bicicleta",F40="Ninguno, pues realicé 100% teletrabajo","No aplica",F40="Moto eléctrica","Moto eléctrica",F40="Vehículo eléctrico - Uso Individual","Vehículo eléctrico",F40="Vehículo eléctrico - Uso Compartido","Vehículo eléctrico")</f>
        <v>#NAME?</v>
      </c>
      <c r="J40" s="486">
        <v>1</v>
      </c>
      <c r="K40" s="1324" t="e">
        <f t="shared" ca="1" si="0"/>
        <v>#NAME?</v>
      </c>
      <c r="L40" s="1325">
        <f ca="1">+IFERROR(VLOOKUP(I40,'Factores Emisión EDGE'!$K$267:$L$272,2,0),0)</f>
        <v>0</v>
      </c>
      <c r="M40" s="1325" t="e">
        <f t="shared" ca="1" si="1"/>
        <v>#NAME?</v>
      </c>
      <c r="N40" s="486" t="s">
        <v>3056</v>
      </c>
      <c r="O40" s="1312"/>
      <c r="P40" s="1312"/>
    </row>
    <row r="41" spans="1:16" ht="15.75" customHeight="1">
      <c r="A41" s="1314">
        <v>44939.540385162036</v>
      </c>
      <c r="B41" s="1310" t="s">
        <v>3113</v>
      </c>
      <c r="C41" s="1310" t="s">
        <v>3114</v>
      </c>
      <c r="D41" s="1310" t="s">
        <v>3080</v>
      </c>
      <c r="E41" s="1310" t="s">
        <v>3042</v>
      </c>
      <c r="F41" s="1310" t="s">
        <v>1952</v>
      </c>
      <c r="G41" s="1326">
        <v>40</v>
      </c>
      <c r="H41" s="486" t="e">
        <f t="array" aca="1" ref="H41" ca="1">+_xludf.IFS(E41="100% Presencial",1, E41="20% Teletrabajo (4 días a la semana)",0.8,E41="40% Teletrabajo (3 días a la semana)",0.6,E41="60% Teletrabajo (2 días a la semana)",0.4,E41="80% Teletrabajo (1 día a la semana)",0.2,E41="100% Teletrabajo",0)</f>
        <v>#NAME?</v>
      </c>
      <c r="I41" s="486" t="e">
        <f t="array" aca="1" ref="I41" ca="1">+_xludf.IFS(F41="Vehículo - Uso individual","Auto",F41="Vehículo - Uso compartido","Auto",F41="Transporte público/bus de acercamiento","Bus",F41="Moto","Moto",F41="Bicicleta o caminando","Bicicleta",F41="Ninguno, pues realicé 100% teletrabajo","No aplica",F41="Moto eléctrica","Moto eléctrica",F41="Vehículo eléctrico - Uso Individual","Vehículo eléctrico",F41="Vehículo eléctrico - Uso Compartido","Vehículo eléctrico")</f>
        <v>#NAME?</v>
      </c>
      <c r="J41" s="486">
        <v>1</v>
      </c>
      <c r="K41" s="1324" t="e">
        <f t="shared" ca="1" si="0"/>
        <v>#NAME?</v>
      </c>
      <c r="L41" s="1325">
        <f ca="1">+IFERROR(VLOOKUP(I41,'Factores Emisión EDGE'!$K$267:$L$272,2,0),0)</f>
        <v>0</v>
      </c>
      <c r="M41" s="1325" t="e">
        <f t="shared" ca="1" si="1"/>
        <v>#NAME?</v>
      </c>
      <c r="N41" s="486" t="s">
        <v>3043</v>
      </c>
      <c r="O41" s="1312"/>
      <c r="P41" s="1312"/>
    </row>
    <row r="42" spans="1:16" ht="15.75" customHeight="1">
      <c r="A42" s="1314">
        <v>44929.502617048609</v>
      </c>
      <c r="B42" s="1310" t="s">
        <v>2473</v>
      </c>
      <c r="C42" s="1310" t="s">
        <v>2474</v>
      </c>
      <c r="D42" s="1310" t="s">
        <v>3048</v>
      </c>
      <c r="E42" s="1310" t="s">
        <v>883</v>
      </c>
      <c r="F42" s="1310" t="s">
        <v>1952</v>
      </c>
      <c r="G42" s="1326">
        <v>38.200000000000003</v>
      </c>
      <c r="H42" s="486" t="e">
        <f t="array" aca="1" ref="H42" ca="1">+_xludf.IFS(E42="100% Presencial",1, E42="20% Teletrabajo (4 días a la semana)",0.8,E42="40% Teletrabajo (3 días a la semana)",0.6,E42="60% Teletrabajo (2 días a la semana)",0.4,E42="80% Teletrabajo (1 día a la semana)",0.2,E42="100% Teletrabajo",0)</f>
        <v>#NAME?</v>
      </c>
      <c r="I42" s="486" t="e">
        <f t="array" aca="1" ref="I42" ca="1">+_xludf.IFS(F42="Vehículo - Uso individual","Auto",F42="Vehículo - Uso compartido","Auto",F42="Transporte público/bus de acercamiento","Bus",F42="Moto","Moto",F42="Bicicleta o caminando","Bicicleta",F42="Ninguno, pues realicé 100% teletrabajo","No aplica",F42="Moto eléctrica","Moto eléctrica",F42="Vehículo eléctrico - Uso Individual","Vehículo eléctrico",F42="Vehículo eléctrico - Uso Compartido","Vehículo eléctrico")</f>
        <v>#NAME?</v>
      </c>
      <c r="J42" s="486">
        <v>1</v>
      </c>
      <c r="K42" s="1324" t="e">
        <f t="shared" ca="1" si="0"/>
        <v>#NAME?</v>
      </c>
      <c r="L42" s="1325">
        <f ca="1">+IFERROR(VLOOKUP(I42,'Factores Emisión EDGE'!$K$267:$L$272,2,0),0)</f>
        <v>0</v>
      </c>
      <c r="M42" s="1325" t="e">
        <f t="shared" ca="1" si="1"/>
        <v>#NAME?</v>
      </c>
      <c r="N42" s="486" t="s">
        <v>3043</v>
      </c>
      <c r="O42" s="1312"/>
      <c r="P42" s="1312"/>
    </row>
    <row r="43" spans="1:16" ht="15.75" customHeight="1">
      <c r="A43" s="1314">
        <v>44929.483460451389</v>
      </c>
      <c r="B43" s="1310" t="s">
        <v>2387</v>
      </c>
      <c r="C43" s="1310" t="s">
        <v>2388</v>
      </c>
      <c r="D43" s="1310" t="s">
        <v>3048</v>
      </c>
      <c r="E43" s="1310" t="s">
        <v>3042</v>
      </c>
      <c r="F43" s="1310" t="s">
        <v>1952</v>
      </c>
      <c r="G43" s="1326">
        <v>38</v>
      </c>
      <c r="H43" s="486" t="e">
        <f t="array" aca="1" ref="H43" ca="1">+_xludf.IFS(E43="100% Presencial",1, E43="20% Teletrabajo (4 días a la semana)",0.8,E43="40% Teletrabajo (3 días a la semana)",0.6,E43="60% Teletrabajo (2 días a la semana)",0.4,E43="80% Teletrabajo (1 día a la semana)",0.2,E43="100% Teletrabajo",0)</f>
        <v>#NAME?</v>
      </c>
      <c r="I43" s="486" t="e">
        <f t="array" aca="1" ref="I43" ca="1">+_xludf.IFS(F43="Vehículo - Uso individual","Auto",F43="Vehículo - Uso compartido","Auto",F43="Transporte público/bus de acercamiento","Bus",F43="Moto","Moto",F43="Bicicleta o caminando","Bicicleta",F43="Ninguno, pues realicé 100% teletrabajo","No aplica",F43="Moto eléctrica","Moto eléctrica",F43="Vehículo eléctrico - Uso Individual","Vehículo eléctrico",F43="Vehículo eléctrico - Uso Compartido","Vehículo eléctrico")</f>
        <v>#NAME?</v>
      </c>
      <c r="J43" s="486">
        <v>1</v>
      </c>
      <c r="K43" s="1324" t="e">
        <f t="shared" ca="1" si="0"/>
        <v>#NAME?</v>
      </c>
      <c r="L43" s="1325">
        <f ca="1">+IFERROR(VLOOKUP(I43,'Factores Emisión EDGE'!$K$267:$L$272,2,0),0)</f>
        <v>0</v>
      </c>
      <c r="M43" s="1325" t="e">
        <f t="shared" ca="1" si="1"/>
        <v>#NAME?</v>
      </c>
      <c r="N43" s="486" t="s">
        <v>3043</v>
      </c>
      <c r="O43" s="1312"/>
      <c r="P43" s="1312"/>
    </row>
    <row r="44" spans="1:16" ht="15.75" customHeight="1">
      <c r="A44" s="1314">
        <v>44929.53299699074</v>
      </c>
      <c r="B44" s="1310" t="s">
        <v>2825</v>
      </c>
      <c r="C44" s="1310" t="s">
        <v>2826</v>
      </c>
      <c r="D44" s="1310" t="s">
        <v>3048</v>
      </c>
      <c r="E44" s="1310" t="s">
        <v>885</v>
      </c>
      <c r="F44" s="1310" t="s">
        <v>1995</v>
      </c>
      <c r="G44" s="1326">
        <v>38</v>
      </c>
      <c r="H44" s="486" t="e">
        <f t="array" aca="1" ref="H44" ca="1">+_xludf.IFS(E44="100% Presencial",1, E44="20% Teletrabajo (4 días a la semana)",0.8,E44="40% Teletrabajo (3 días a la semana)",0.6,E44="60% Teletrabajo (2 días a la semana)",0.4,E44="80% Teletrabajo (1 día a la semana)",0.2,E44="100% Teletrabajo",0)</f>
        <v>#NAME?</v>
      </c>
      <c r="I44" s="486" t="e">
        <f t="array" aca="1" ref="I44" ca="1">+_xludf.IFS(F44="Vehículo - Uso individual","Auto",F44="Vehículo - Uso compartido","Auto",F44="Transporte público/bus de acercamiento","Bus",F44="Moto","Moto",F44="Bicicleta o caminando","Bicicleta",F44="Ninguno, pues realicé 100% teletrabajo","No aplica",F44="Moto eléctrica","Moto eléctrica",F44="Vehículo eléctrico - Uso Individual","Vehículo eléctrico",F44="Vehículo eléctrico - Uso Compartido","Vehículo eléctrico")</f>
        <v>#NAME?</v>
      </c>
      <c r="J44" s="486">
        <v>0.25</v>
      </c>
      <c r="K44" s="1324" t="e">
        <f t="shared" ca="1" si="0"/>
        <v>#NAME?</v>
      </c>
      <c r="L44" s="1325">
        <f ca="1">+IFERROR(VLOOKUP(I44,'Factores Emisión EDGE'!$K$267:$L$272,2,0),0)</f>
        <v>0</v>
      </c>
      <c r="M44" s="1325" t="e">
        <f t="shared" ca="1" si="1"/>
        <v>#NAME?</v>
      </c>
      <c r="N44" s="486" t="s">
        <v>3043</v>
      </c>
      <c r="O44" s="1312"/>
      <c r="P44" s="1312"/>
    </row>
    <row r="45" spans="1:16" ht="15.75" customHeight="1">
      <c r="A45" s="1314">
        <v>44939.434129525464</v>
      </c>
      <c r="B45" s="1310" t="s">
        <v>3115</v>
      </c>
      <c r="C45" s="1310" t="s">
        <v>3116</v>
      </c>
      <c r="D45" s="1310" t="s">
        <v>3048</v>
      </c>
      <c r="E45" s="1310" t="s">
        <v>885</v>
      </c>
      <c r="F45" s="1310" t="s">
        <v>3055</v>
      </c>
      <c r="G45" s="1326">
        <v>38</v>
      </c>
      <c r="H45" s="486" t="e">
        <f t="array" aca="1" ref="H45" ca="1">+_xludf.IFS(E45="100% Presencial",1, E45="20% Teletrabajo (4 días a la semana)",0.8,E45="40% Teletrabajo (3 días a la semana)",0.6,E45="60% Teletrabajo (2 días a la semana)",0.4,E45="80% Teletrabajo (1 día a la semana)",0.2,E45="100% Teletrabajo",0)</f>
        <v>#NAME?</v>
      </c>
      <c r="I45" s="486" t="e">
        <f t="array" aca="1" ref="I45" ca="1">+_xludf.IFS(F45="Vehículo - Uso individual","Auto",F45="Vehículo - Uso compartido","Auto",F45="Transporte público/bus de acercamiento","Bus",F45="Moto","Moto",F45="Bicicleta o caminando","Bicicleta",F45="Ninguno, pues realicé 100% teletrabajo","No aplica",F45="Moto eléctrica","Moto eléctrica",F45="Vehículo eléctrico - Uso Individual","Vehículo eléctrico",F45="Vehículo eléctrico - Uso Compartido","Vehículo eléctrico")</f>
        <v>#NAME?</v>
      </c>
      <c r="J45" s="486">
        <v>1</v>
      </c>
      <c r="K45" s="1324" t="e">
        <f t="shared" ca="1" si="0"/>
        <v>#NAME?</v>
      </c>
      <c r="L45" s="1325">
        <f ca="1">+IFERROR(VLOOKUP(I45,'Factores Emisión EDGE'!$K$267:$L$272,2,0),0)</f>
        <v>0</v>
      </c>
      <c r="M45" s="1325" t="e">
        <f t="shared" ca="1" si="1"/>
        <v>#NAME?</v>
      </c>
      <c r="N45" s="486" t="s">
        <v>3043</v>
      </c>
      <c r="O45" s="1312"/>
      <c r="P45" s="1312"/>
    </row>
    <row r="46" spans="1:16" ht="15.75" customHeight="1">
      <c r="A46" s="1314">
        <v>44929.487347557872</v>
      </c>
      <c r="B46" s="1310" t="s">
        <v>2166</v>
      </c>
      <c r="C46" s="1310" t="s">
        <v>2167</v>
      </c>
      <c r="D46" s="1310" t="s">
        <v>3048</v>
      </c>
      <c r="E46" s="1310" t="s">
        <v>3042</v>
      </c>
      <c r="F46" s="1310" t="s">
        <v>1952</v>
      </c>
      <c r="G46" s="1326">
        <v>37</v>
      </c>
      <c r="H46" s="486" t="e">
        <f t="array" aca="1" ref="H46" ca="1">+_xludf.IFS(E46="100% Presencial",1, E46="20% Teletrabajo (4 días a la semana)",0.8,E46="40% Teletrabajo (3 días a la semana)",0.6,E46="60% Teletrabajo (2 días a la semana)",0.4,E46="80% Teletrabajo (1 día a la semana)",0.2,E46="100% Teletrabajo",0)</f>
        <v>#NAME?</v>
      </c>
      <c r="I46" s="486" t="e">
        <f t="array" aca="1" ref="I46" ca="1">+_xludf.IFS(F46="Vehículo - Uso individual","Auto",F46="Vehículo - Uso compartido","Auto",F46="Transporte público/bus de acercamiento","Bus",F46="Moto","Moto",F46="Bicicleta o caminando","Bicicleta",F46="Ninguno, pues realicé 100% teletrabajo","No aplica",F46="Moto eléctrica","Moto eléctrica",F46="Vehículo eléctrico - Uso Individual","Vehículo eléctrico",F46="Vehículo eléctrico - Uso Compartido","Vehículo eléctrico")</f>
        <v>#NAME?</v>
      </c>
      <c r="J46" s="486">
        <v>1</v>
      </c>
      <c r="K46" s="1324" t="e">
        <f t="shared" ca="1" si="0"/>
        <v>#NAME?</v>
      </c>
      <c r="L46" s="1325">
        <f ca="1">+IFERROR(VLOOKUP(I46,'Factores Emisión EDGE'!$K$267:$L$272,2,0),0)</f>
        <v>0</v>
      </c>
      <c r="M46" s="1325" t="e">
        <f t="shared" ca="1" si="1"/>
        <v>#NAME?</v>
      </c>
      <c r="N46" s="486" t="s">
        <v>3043</v>
      </c>
      <c r="O46" s="1312"/>
      <c r="P46" s="1312"/>
    </row>
    <row r="47" spans="1:16" ht="15.75" customHeight="1">
      <c r="A47" s="1314">
        <v>44938.689258437502</v>
      </c>
      <c r="B47" s="1310" t="s">
        <v>3117</v>
      </c>
      <c r="C47" s="1310" t="s">
        <v>3118</v>
      </c>
      <c r="D47" s="1310" t="s">
        <v>3048</v>
      </c>
      <c r="E47" s="1310" t="s">
        <v>3042</v>
      </c>
      <c r="F47" s="1310" t="s">
        <v>3055</v>
      </c>
      <c r="G47" s="1326">
        <v>36</v>
      </c>
      <c r="H47" s="486" t="e">
        <f t="array" aca="1" ref="H47" ca="1">+_xludf.IFS(E47="100% Presencial",1, E47="20% Teletrabajo (4 días a la semana)",0.8,E47="40% Teletrabajo (3 días a la semana)",0.6,E47="60% Teletrabajo (2 días a la semana)",0.4,E47="80% Teletrabajo (1 día a la semana)",0.2,E47="100% Teletrabajo",0)</f>
        <v>#NAME?</v>
      </c>
      <c r="I47" s="486" t="e">
        <f t="array" aca="1" ref="I47" ca="1">+_xludf.IFS(F47="Vehículo - Uso individual","Auto",F47="Vehículo - Uso compartido","Auto",F47="Transporte público/bus de acercamiento","Bus",F47="Moto","Moto",F47="Bicicleta o caminando","Bicicleta",F47="Ninguno, pues realicé 100% teletrabajo","No aplica",F47="Moto eléctrica","Moto eléctrica",F47="Vehículo eléctrico - Uso Individual","Vehículo eléctrico",F47="Vehículo eléctrico - Uso Compartido","Vehículo eléctrico")</f>
        <v>#NAME?</v>
      </c>
      <c r="J47" s="486">
        <v>1</v>
      </c>
      <c r="K47" s="1324" t="e">
        <f t="shared" ca="1" si="0"/>
        <v>#NAME?</v>
      </c>
      <c r="L47" s="1325">
        <f ca="1">+IFERROR(VLOOKUP(I47,'Factores Emisión EDGE'!$K$267:$L$272,2,0),0)</f>
        <v>0</v>
      </c>
      <c r="M47" s="1325" t="e">
        <f t="shared" ca="1" si="1"/>
        <v>#NAME?</v>
      </c>
      <c r="N47" s="486" t="s">
        <v>3056</v>
      </c>
      <c r="O47" s="1312"/>
      <c r="P47" s="1312"/>
    </row>
    <row r="48" spans="1:16" ht="15.75" customHeight="1">
      <c r="A48" s="1314">
        <v>44929.673599120375</v>
      </c>
      <c r="B48" s="1310" t="s">
        <v>3119</v>
      </c>
      <c r="C48" s="1310" t="s">
        <v>3120</v>
      </c>
      <c r="D48" s="1310" t="s">
        <v>3048</v>
      </c>
      <c r="E48" s="1310" t="s">
        <v>3066</v>
      </c>
      <c r="F48" s="1310" t="s">
        <v>1995</v>
      </c>
      <c r="G48" s="1326">
        <v>36</v>
      </c>
      <c r="H48" s="486" t="e">
        <f t="array" aca="1" ref="H48" ca="1">+_xludf.IFS(E48="100% Presencial",1, E48="20% Teletrabajo (4 días a la semana)",0.8,E48="40% Teletrabajo (3 días a la semana)",0.6,E48="60% Teletrabajo (2 días a la semana)",0.4,E48="80% Teletrabajo (1 día a la semana)",0.2,E48="100% Teletrabajo",0)</f>
        <v>#NAME?</v>
      </c>
      <c r="I48" s="486" t="e">
        <f t="array" aca="1" ref="I48" ca="1">+_xludf.IFS(F48="Vehículo - Uso individual","Auto",F48="Vehículo - Uso compartido","Auto",F48="Transporte público/bus de acercamiento","Bus",F48="Moto","Moto",F48="Bicicleta o caminando","Bicicleta",F48="Ninguno, pues realicé 100% teletrabajo","No aplica",F48="Moto eléctrica","Moto eléctrica",F48="Vehículo eléctrico - Uso Individual","Vehículo eléctrico",F48="Vehículo eléctrico - Uso Compartido","Vehículo eléctrico")</f>
        <v>#NAME?</v>
      </c>
      <c r="J48" s="486">
        <v>0.25</v>
      </c>
      <c r="K48" s="1324" t="e">
        <f t="shared" ca="1" si="0"/>
        <v>#NAME?</v>
      </c>
      <c r="L48" s="1325">
        <f ca="1">+IFERROR(VLOOKUP(I48,'Factores Emisión EDGE'!$K$267:$L$272,2,0),0)</f>
        <v>0</v>
      </c>
      <c r="M48" s="1325" t="e">
        <f t="shared" ca="1" si="1"/>
        <v>#NAME?</v>
      </c>
      <c r="N48" s="486" t="s">
        <v>3043</v>
      </c>
      <c r="O48" s="1312"/>
      <c r="P48" s="1312"/>
    </row>
    <row r="49" spans="1:16" ht="15.75" customHeight="1">
      <c r="A49" s="1314">
        <v>44930.580882939816</v>
      </c>
      <c r="B49" s="1310" t="s">
        <v>3121</v>
      </c>
      <c r="C49" s="1310" t="s">
        <v>3122</v>
      </c>
      <c r="D49" s="1310" t="s">
        <v>3080</v>
      </c>
      <c r="E49" s="1310" t="s">
        <v>3042</v>
      </c>
      <c r="F49" s="1310" t="s">
        <v>1952</v>
      </c>
      <c r="G49" s="1326">
        <v>36</v>
      </c>
      <c r="H49" s="486" t="e">
        <f t="array" aca="1" ref="H49" ca="1">+_xludf.IFS(E49="100% Presencial",1, E49="20% Teletrabajo (4 días a la semana)",0.8,E49="40% Teletrabajo (3 días a la semana)",0.6,E49="60% Teletrabajo (2 días a la semana)",0.4,E49="80% Teletrabajo (1 día a la semana)",0.2,E49="100% Teletrabajo",0)</f>
        <v>#NAME?</v>
      </c>
      <c r="I49" s="486" t="e">
        <f t="array" aca="1" ref="I49" ca="1">+_xludf.IFS(F49="Vehículo - Uso individual","Auto",F49="Vehículo - Uso compartido","Auto",F49="Transporte público/bus de acercamiento","Bus",F49="Moto","Moto",F49="Bicicleta o caminando","Bicicleta",F49="Ninguno, pues realicé 100% teletrabajo","No aplica",F49="Moto eléctrica","Moto eléctrica",F49="Vehículo eléctrico - Uso Individual","Vehículo eléctrico",F49="Vehículo eléctrico - Uso Compartido","Vehículo eléctrico")</f>
        <v>#NAME?</v>
      </c>
      <c r="J49" s="486">
        <v>1</v>
      </c>
      <c r="K49" s="1324" t="e">
        <f t="shared" ca="1" si="0"/>
        <v>#NAME?</v>
      </c>
      <c r="L49" s="1325">
        <f ca="1">+IFERROR(VLOOKUP(I49,'Factores Emisión EDGE'!$K$267:$L$272,2,0),0)</f>
        <v>0</v>
      </c>
      <c r="M49" s="1325" t="e">
        <f t="shared" ca="1" si="1"/>
        <v>#NAME?</v>
      </c>
      <c r="N49" s="486" t="s">
        <v>3056</v>
      </c>
      <c r="O49" s="1312"/>
      <c r="P49" s="1312"/>
    </row>
    <row r="50" spans="1:16" ht="15.75" customHeight="1">
      <c r="A50" s="1314">
        <v>44938.545956759262</v>
      </c>
      <c r="B50" s="1310" t="s">
        <v>3058</v>
      </c>
      <c r="C50" s="1310" t="s">
        <v>3059</v>
      </c>
      <c r="D50" s="1310" t="s">
        <v>3060</v>
      </c>
      <c r="E50" s="1310" t="s">
        <v>3042</v>
      </c>
      <c r="F50" s="1310" t="s">
        <v>1952</v>
      </c>
      <c r="G50" s="1326">
        <v>35</v>
      </c>
      <c r="H50" s="486" t="e">
        <f t="array" aca="1" ref="H50" ca="1">+_xludf.IFS(E50="100% Presencial",1, E50="20% Teletrabajo (4 días a la semana)",0.8,E50="40% Teletrabajo (3 días a la semana)",0.6,E50="60% Teletrabajo (2 días a la semana)",0.4,E50="80% Teletrabajo (1 día a la semana)",0.2,E50="100% Teletrabajo",0)</f>
        <v>#NAME?</v>
      </c>
      <c r="I50" s="486" t="e">
        <f t="array" aca="1" ref="I50" ca="1">+_xludf.IFS(F50="Vehículo - Uso individual","Auto",F50="Vehículo - Uso compartido","Auto",F50="Transporte público/bus de acercamiento","Bus",F50="Moto","Moto",F50="Bicicleta o caminando","Bicicleta",F50="Ninguno, pues realicé 100% teletrabajo","No aplica",F50="Moto eléctrica","Moto eléctrica",F50="Vehículo eléctrico - Uso Individual","Vehículo eléctrico",F50="Vehículo eléctrico - Uso Compartido","Vehículo eléctrico")</f>
        <v>#NAME?</v>
      </c>
      <c r="J50" s="486">
        <v>1</v>
      </c>
      <c r="K50" s="1324" t="e">
        <f t="shared" ca="1" si="0"/>
        <v>#NAME?</v>
      </c>
      <c r="L50" s="1325">
        <f ca="1">+IFERROR(VLOOKUP(I50,'Factores Emisión EDGE'!$K$267:$L$272,2,0),0)</f>
        <v>0</v>
      </c>
      <c r="M50" s="1325" t="e">
        <f t="shared" ca="1" si="1"/>
        <v>#NAME?</v>
      </c>
      <c r="N50" s="486" t="s">
        <v>3056</v>
      </c>
      <c r="O50" s="1312"/>
      <c r="P50" s="1312"/>
    </row>
    <row r="51" spans="1:16" ht="15.75" customHeight="1">
      <c r="A51" s="1314">
        <v>44939.406771759255</v>
      </c>
      <c r="B51" s="1310" t="s">
        <v>3123</v>
      </c>
      <c r="C51" s="1310" t="s">
        <v>3124</v>
      </c>
      <c r="D51" s="1310" t="s">
        <v>3048</v>
      </c>
      <c r="E51" s="1310" t="s">
        <v>3042</v>
      </c>
      <c r="F51" s="1310" t="s">
        <v>1952</v>
      </c>
      <c r="G51" s="1326">
        <v>35</v>
      </c>
      <c r="H51" s="486" t="e">
        <f t="array" aca="1" ref="H51" ca="1">+_xludf.IFS(E51="100% Presencial",1, E51="20% Teletrabajo (4 días a la semana)",0.8,E51="40% Teletrabajo (3 días a la semana)",0.6,E51="60% Teletrabajo (2 días a la semana)",0.4,E51="80% Teletrabajo (1 día a la semana)",0.2,E51="100% Teletrabajo",0)</f>
        <v>#NAME?</v>
      </c>
      <c r="I51" s="486" t="e">
        <f t="array" aca="1" ref="I51" ca="1">+_xludf.IFS(F51="Vehículo - Uso individual","Auto",F51="Vehículo - Uso compartido","Auto",F51="Transporte público/bus de acercamiento","Bus",F51="Moto","Moto",F51="Bicicleta o caminando","Bicicleta",F51="Ninguno, pues realicé 100% teletrabajo","No aplica",F51="Moto eléctrica","Moto eléctrica",F51="Vehículo eléctrico - Uso Individual","Vehículo eléctrico",F51="Vehículo eléctrico - Uso Compartido","Vehículo eléctrico")</f>
        <v>#NAME?</v>
      </c>
      <c r="J51" s="486">
        <v>1</v>
      </c>
      <c r="K51" s="1324" t="e">
        <f t="shared" ca="1" si="0"/>
        <v>#NAME?</v>
      </c>
      <c r="L51" s="1325">
        <f ca="1">+IFERROR(VLOOKUP(I51,'Factores Emisión EDGE'!$K$267:$L$272,2,0),0)</f>
        <v>0</v>
      </c>
      <c r="M51" s="1325" t="e">
        <f t="shared" ca="1" si="1"/>
        <v>#NAME?</v>
      </c>
      <c r="N51" s="486" t="s">
        <v>3043</v>
      </c>
      <c r="O51" s="1312"/>
      <c r="P51" s="1312"/>
    </row>
    <row r="52" spans="1:16" ht="15.75" customHeight="1">
      <c r="A52" s="1314">
        <v>44929.491002939816</v>
      </c>
      <c r="B52" s="1310" t="s">
        <v>3125</v>
      </c>
      <c r="C52" s="1310" t="s">
        <v>2049</v>
      </c>
      <c r="D52" s="1310" t="s">
        <v>3048</v>
      </c>
      <c r="E52" s="1310" t="s">
        <v>3049</v>
      </c>
      <c r="F52" s="1310" t="s">
        <v>1952</v>
      </c>
      <c r="G52" s="1326">
        <v>35</v>
      </c>
      <c r="H52" s="486" t="e">
        <f t="array" aca="1" ref="H52" ca="1">+_xludf.IFS(E52="100% Presencial",1, E52="20% Teletrabajo (4 días a la semana)",0.8,E52="40% Teletrabajo (3 días a la semana)",0.6,E52="60% Teletrabajo (2 días a la semana)",0.4,E52="80% Teletrabajo (1 día a la semana)",0.2,E52="100% Teletrabajo",0)</f>
        <v>#NAME?</v>
      </c>
      <c r="I52" s="486" t="e">
        <f t="array" aca="1" ref="I52" ca="1">+_xludf.IFS(F52="Vehículo - Uso individual","Auto",F52="Vehículo - Uso compartido","Auto",F52="Transporte público/bus de acercamiento","Bus",F52="Moto","Moto",F52="Bicicleta o caminando","Bicicleta",F52="Ninguno, pues realicé 100% teletrabajo","No aplica",F52="Moto eléctrica","Moto eléctrica",F52="Vehículo eléctrico - Uso Individual","Vehículo eléctrico",F52="Vehículo eléctrico - Uso Compartido","Vehículo eléctrico")</f>
        <v>#NAME?</v>
      </c>
      <c r="J52" s="486">
        <v>1</v>
      </c>
      <c r="K52" s="1324" t="e">
        <f t="shared" ca="1" si="0"/>
        <v>#NAME?</v>
      </c>
      <c r="L52" s="1325">
        <f ca="1">+IFERROR(VLOOKUP(I52,'Factores Emisión EDGE'!$K$267:$L$272,2,0),0)</f>
        <v>0</v>
      </c>
      <c r="M52" s="1325" t="e">
        <f t="shared" ca="1" si="1"/>
        <v>#NAME?</v>
      </c>
      <c r="N52" s="486" t="s">
        <v>3043</v>
      </c>
      <c r="O52" s="1312"/>
      <c r="P52" s="1312"/>
    </row>
    <row r="53" spans="1:16" ht="15.75" customHeight="1">
      <c r="A53" s="1314">
        <v>44929.611631736116</v>
      </c>
      <c r="B53" s="1310" t="s">
        <v>3126</v>
      </c>
      <c r="C53" s="1310" t="s">
        <v>2301</v>
      </c>
      <c r="D53" s="1310" t="s">
        <v>3048</v>
      </c>
      <c r="E53" s="1310" t="s">
        <v>3066</v>
      </c>
      <c r="F53" s="1310" t="s">
        <v>3055</v>
      </c>
      <c r="G53" s="1326">
        <v>35</v>
      </c>
      <c r="H53" s="486" t="e">
        <f t="array" aca="1" ref="H53" ca="1">+_xludf.IFS(E53="100% Presencial",1, E53="20% Teletrabajo (4 días a la semana)",0.8,E53="40% Teletrabajo (3 días a la semana)",0.6,E53="60% Teletrabajo (2 días a la semana)",0.4,E53="80% Teletrabajo (1 día a la semana)",0.2,E53="100% Teletrabajo",0)</f>
        <v>#NAME?</v>
      </c>
      <c r="I53" s="486" t="e">
        <f t="array" aca="1" ref="I53" ca="1">+_xludf.IFS(F53="Vehículo - Uso individual","Auto",F53="Vehículo - Uso compartido","Auto",F53="Transporte público/bus de acercamiento","Bus",F53="Moto","Moto",F53="Bicicleta o caminando","Bicicleta",F53="Ninguno, pues realicé 100% teletrabajo","No aplica",F53="Moto eléctrica","Moto eléctrica",F53="Vehículo eléctrico - Uso Individual","Vehículo eléctrico",F53="Vehículo eléctrico - Uso Compartido","Vehículo eléctrico")</f>
        <v>#NAME?</v>
      </c>
      <c r="J53" s="486">
        <v>1</v>
      </c>
      <c r="K53" s="1324" t="e">
        <f t="shared" ca="1" si="0"/>
        <v>#NAME?</v>
      </c>
      <c r="L53" s="1325">
        <f ca="1">+IFERROR(VLOOKUP(I53,'Factores Emisión EDGE'!$K$267:$L$272,2,0),0)</f>
        <v>0</v>
      </c>
      <c r="M53" s="1325" t="e">
        <f t="shared" ca="1" si="1"/>
        <v>#NAME?</v>
      </c>
      <c r="N53" s="486" t="s">
        <v>3043</v>
      </c>
      <c r="O53" s="1312"/>
      <c r="P53" s="1312"/>
    </row>
    <row r="54" spans="1:16" ht="15.75" customHeight="1">
      <c r="A54" s="1314">
        <v>44939.728035775464</v>
      </c>
      <c r="B54" s="1310" t="s">
        <v>3127</v>
      </c>
      <c r="C54" s="1310" t="s">
        <v>3128</v>
      </c>
      <c r="D54" s="1310" t="s">
        <v>3048</v>
      </c>
      <c r="E54" s="1310" t="s">
        <v>3042</v>
      </c>
      <c r="F54" s="1310" t="s">
        <v>1983</v>
      </c>
      <c r="G54" s="1326">
        <v>35</v>
      </c>
      <c r="H54" s="486" t="e">
        <f t="array" aca="1" ref="H54" ca="1">+_xludf.IFS(E54="100% Presencial",1, E54="20% Teletrabajo (4 días a la semana)",0.8,E54="40% Teletrabajo (3 días a la semana)",0.6,E54="60% Teletrabajo (2 días a la semana)",0.4,E54="80% Teletrabajo (1 día a la semana)",0.2,E54="100% Teletrabajo",0)</f>
        <v>#NAME?</v>
      </c>
      <c r="I54" s="486" t="e">
        <f t="array" aca="1" ref="I54" ca="1">+_xludf.IFS(F54="Vehículo - Uso individual","Auto",F54="Vehículo - Uso compartido","Auto",F54="Transporte público/bus de acercamiento","Bus",F54="Moto","Moto",F54="Bicicleta o caminando","Bicicleta",F54="Ninguno, pues realicé 100% teletrabajo","No aplica",F54="Moto eléctrica","Moto eléctrica",F54="Vehículo eléctrico - Uso Individual","Vehículo eléctrico",F54="Vehículo eléctrico - Uso Compartido","Vehículo eléctrico")</f>
        <v>#NAME?</v>
      </c>
      <c r="J54" s="486">
        <v>1</v>
      </c>
      <c r="K54" s="1324" t="e">
        <f t="shared" ca="1" si="0"/>
        <v>#NAME?</v>
      </c>
      <c r="L54" s="1325">
        <f ca="1">+IFERROR(VLOOKUP(I54,'Factores Emisión EDGE'!$K$267:$L$272,2,0),0)</f>
        <v>0</v>
      </c>
      <c r="M54" s="1325" t="e">
        <f t="shared" ca="1" si="1"/>
        <v>#NAME?</v>
      </c>
      <c r="N54" s="486" t="s">
        <v>3056</v>
      </c>
      <c r="O54" s="1312"/>
      <c r="P54" s="1312"/>
    </row>
    <row r="55" spans="1:16" ht="15.75" customHeight="1">
      <c r="A55" s="1314">
        <v>44929.522950046296</v>
      </c>
      <c r="B55" s="1310" t="s">
        <v>2231</v>
      </c>
      <c r="C55" s="1310" t="s">
        <v>2232</v>
      </c>
      <c r="D55" s="1310" t="s">
        <v>3048</v>
      </c>
      <c r="E55" s="1310" t="s">
        <v>885</v>
      </c>
      <c r="F55" s="1310" t="s">
        <v>1952</v>
      </c>
      <c r="G55" s="1326">
        <v>35</v>
      </c>
      <c r="H55" s="486" t="e">
        <f t="array" aca="1" ref="H55" ca="1">+_xludf.IFS(E55="100% Presencial",1, E55="20% Teletrabajo (4 días a la semana)",0.8,E55="40% Teletrabajo (3 días a la semana)",0.6,E55="60% Teletrabajo (2 días a la semana)",0.4,E55="80% Teletrabajo (1 día a la semana)",0.2,E55="100% Teletrabajo",0)</f>
        <v>#NAME?</v>
      </c>
      <c r="I55" s="486" t="e">
        <f t="array" aca="1" ref="I55" ca="1">+_xludf.IFS(F55="Vehículo - Uso individual","Auto",F55="Vehículo - Uso compartido","Auto",F55="Transporte público/bus de acercamiento","Bus",F55="Moto","Moto",F55="Bicicleta o caminando","Bicicleta",F55="Ninguno, pues realicé 100% teletrabajo","No aplica",F55="Moto eléctrica","Moto eléctrica",F55="Vehículo eléctrico - Uso Individual","Vehículo eléctrico",F55="Vehículo eléctrico - Uso Compartido","Vehículo eléctrico")</f>
        <v>#NAME?</v>
      </c>
      <c r="J55" s="486">
        <v>1</v>
      </c>
      <c r="K55" s="1324" t="e">
        <f t="shared" ca="1" si="0"/>
        <v>#NAME?</v>
      </c>
      <c r="L55" s="1325">
        <f ca="1">+IFERROR(VLOOKUP(I55,'Factores Emisión EDGE'!$K$267:$L$272,2,0),0)</f>
        <v>0</v>
      </c>
      <c r="M55" s="1325" t="e">
        <f t="shared" ca="1" si="1"/>
        <v>#NAME?</v>
      </c>
      <c r="N55" s="486" t="s">
        <v>3043</v>
      </c>
      <c r="O55" s="1312"/>
      <c r="P55" s="1312"/>
    </row>
    <row r="56" spans="1:16" ht="15.75" customHeight="1">
      <c r="A56" s="1314">
        <v>44930.494459513888</v>
      </c>
      <c r="B56" s="1310" t="s">
        <v>3129</v>
      </c>
      <c r="C56" s="1310" t="s">
        <v>3130</v>
      </c>
      <c r="D56" s="1310" t="s">
        <v>3080</v>
      </c>
      <c r="E56" s="1310" t="s">
        <v>3042</v>
      </c>
      <c r="F56" s="1310" t="s">
        <v>1952</v>
      </c>
      <c r="G56" s="1326">
        <v>35</v>
      </c>
      <c r="H56" s="486" t="e">
        <f t="array" aca="1" ref="H56" ca="1">+_xludf.IFS(E56="100% Presencial",1, E56="20% Teletrabajo (4 días a la semana)",0.8,E56="40% Teletrabajo (3 días a la semana)",0.6,E56="60% Teletrabajo (2 días a la semana)",0.4,E56="80% Teletrabajo (1 día a la semana)",0.2,E56="100% Teletrabajo",0)</f>
        <v>#NAME?</v>
      </c>
      <c r="I56" s="486" t="e">
        <f t="array" aca="1" ref="I56" ca="1">+_xludf.IFS(F56="Vehículo - Uso individual","Auto",F56="Vehículo - Uso compartido","Auto",F56="Transporte público/bus de acercamiento","Bus",F56="Moto","Moto",F56="Bicicleta o caminando","Bicicleta",F56="Ninguno, pues realicé 100% teletrabajo","No aplica",F56="Moto eléctrica","Moto eléctrica",F56="Vehículo eléctrico - Uso Individual","Vehículo eléctrico",F56="Vehículo eléctrico - Uso Compartido","Vehículo eléctrico")</f>
        <v>#NAME?</v>
      </c>
      <c r="J56" s="486">
        <v>1</v>
      </c>
      <c r="K56" s="1324" t="e">
        <f t="shared" ca="1" si="0"/>
        <v>#NAME?</v>
      </c>
      <c r="L56" s="1325">
        <f ca="1">+IFERROR(VLOOKUP(I56,'Factores Emisión EDGE'!$K$267:$L$272,2,0),0)</f>
        <v>0</v>
      </c>
      <c r="M56" s="1325" t="e">
        <f t="shared" ca="1" si="1"/>
        <v>#NAME?</v>
      </c>
      <c r="N56" s="486" t="s">
        <v>3056</v>
      </c>
      <c r="O56" s="1312"/>
      <c r="P56" s="1312"/>
    </row>
    <row r="57" spans="1:16" ht="15.75" customHeight="1">
      <c r="A57" s="1314">
        <v>44930.523379861115</v>
      </c>
      <c r="B57" s="1310" t="s">
        <v>3131</v>
      </c>
      <c r="C57" s="1310" t="s">
        <v>3132</v>
      </c>
      <c r="D57" s="1310" t="s">
        <v>3133</v>
      </c>
      <c r="E57" s="1310" t="s">
        <v>3042</v>
      </c>
      <c r="F57" s="1310" t="s">
        <v>1952</v>
      </c>
      <c r="G57" s="1326">
        <v>35</v>
      </c>
      <c r="H57" s="486" t="e">
        <f t="array" aca="1" ref="H57" ca="1">+_xludf.IFS(E57="100% Presencial",1, E57="20% Teletrabajo (4 días a la semana)",0.8,E57="40% Teletrabajo (3 días a la semana)",0.6,E57="60% Teletrabajo (2 días a la semana)",0.4,E57="80% Teletrabajo (1 día a la semana)",0.2,E57="100% Teletrabajo",0)</f>
        <v>#NAME?</v>
      </c>
      <c r="I57" s="486" t="e">
        <f t="array" aca="1" ref="I57" ca="1">+_xludf.IFS(F57="Vehículo - Uso individual","Auto",F57="Vehículo - Uso compartido","Auto",F57="Transporte público/bus de acercamiento","Bus",F57="Moto","Moto",F57="Bicicleta o caminando","Bicicleta",F57="Ninguno, pues realicé 100% teletrabajo","No aplica",F57="Moto eléctrica","Moto eléctrica",F57="Vehículo eléctrico - Uso Individual","Vehículo eléctrico",F57="Vehículo eléctrico - Uso Compartido","Vehículo eléctrico")</f>
        <v>#NAME?</v>
      </c>
      <c r="J57" s="486">
        <v>1</v>
      </c>
      <c r="K57" s="1324" t="e">
        <f t="shared" ca="1" si="0"/>
        <v>#NAME?</v>
      </c>
      <c r="L57" s="1325">
        <f ca="1">+IFERROR(VLOOKUP(I57,'Factores Emisión EDGE'!$K$267:$L$272,2,0),0)</f>
        <v>0</v>
      </c>
      <c r="M57" s="1325" t="e">
        <f t="shared" ca="1" si="1"/>
        <v>#NAME?</v>
      </c>
      <c r="N57" s="486" t="s">
        <v>3056</v>
      </c>
      <c r="O57" s="1312"/>
      <c r="P57" s="1312"/>
    </row>
    <row r="58" spans="1:16" ht="15.75" customHeight="1">
      <c r="A58" s="1314">
        <v>44931.737075902776</v>
      </c>
      <c r="B58" s="1310" t="s">
        <v>3134</v>
      </c>
      <c r="C58" s="1310" t="s">
        <v>3135</v>
      </c>
      <c r="D58" s="1310" t="s">
        <v>3048</v>
      </c>
      <c r="E58" s="1310" t="s">
        <v>3042</v>
      </c>
      <c r="F58" s="1310" t="s">
        <v>3055</v>
      </c>
      <c r="G58" s="1326">
        <v>35</v>
      </c>
      <c r="H58" s="486" t="e">
        <f t="array" aca="1" ref="H58" ca="1">+_xludf.IFS(E58="100% Presencial",1, E58="20% Teletrabajo (4 días a la semana)",0.8,E58="40% Teletrabajo (3 días a la semana)",0.6,E58="60% Teletrabajo (2 días a la semana)",0.4,E58="80% Teletrabajo (1 día a la semana)",0.2,E58="100% Teletrabajo",0)</f>
        <v>#NAME?</v>
      </c>
      <c r="I58" s="486" t="e">
        <f t="array" aca="1" ref="I58" ca="1">+_xludf.IFS(F58="Vehículo - Uso individual","Auto",F58="Vehículo - Uso compartido","Auto",F58="Transporte público/bus de acercamiento","Bus",F58="Moto","Moto",F58="Bicicleta o caminando","Bicicleta",F58="Ninguno, pues realicé 100% teletrabajo","No aplica",F58="Moto eléctrica","Moto eléctrica",F58="Vehículo eléctrico - Uso Individual","Vehículo eléctrico",F58="Vehículo eléctrico - Uso Compartido","Vehículo eléctrico")</f>
        <v>#NAME?</v>
      </c>
      <c r="J58" s="486">
        <v>1</v>
      </c>
      <c r="K58" s="1324" t="e">
        <f t="shared" ca="1" si="0"/>
        <v>#NAME?</v>
      </c>
      <c r="L58" s="1325">
        <f ca="1">+IFERROR(VLOOKUP(I58,'Factores Emisión EDGE'!$K$267:$L$272,2,0),0)</f>
        <v>0</v>
      </c>
      <c r="M58" s="1325" t="e">
        <f t="shared" ca="1" si="1"/>
        <v>#NAME?</v>
      </c>
      <c r="N58" s="486" t="s">
        <v>3056</v>
      </c>
      <c r="O58" s="1312"/>
      <c r="P58" s="1312"/>
    </row>
    <row r="59" spans="1:16" ht="15.75" customHeight="1">
      <c r="A59" s="1314">
        <v>44931.926649293979</v>
      </c>
      <c r="B59" s="1310" t="s">
        <v>2062</v>
      </c>
      <c r="C59" s="1310" t="s">
        <v>2063</v>
      </c>
      <c r="D59" s="1310" t="s">
        <v>3048</v>
      </c>
      <c r="E59" s="1310" t="s">
        <v>881</v>
      </c>
      <c r="F59" s="1310" t="s">
        <v>1952</v>
      </c>
      <c r="G59" s="1326">
        <v>35</v>
      </c>
      <c r="H59" s="486" t="e">
        <f t="array" aca="1" ref="H59" ca="1">+_xludf.IFS(E59="100% Presencial",1, E59="20% Teletrabajo (4 días a la semana)",0.8,E59="40% Teletrabajo (3 días a la semana)",0.6,E59="60% Teletrabajo (2 días a la semana)",0.4,E59="80% Teletrabajo (1 día a la semana)",0.2,E59="100% Teletrabajo",0)</f>
        <v>#NAME?</v>
      </c>
      <c r="I59" s="486" t="e">
        <f t="array" aca="1" ref="I59" ca="1">+_xludf.IFS(F59="Vehículo - Uso individual","Auto",F59="Vehículo - Uso compartido","Auto",F59="Transporte público/bus de acercamiento","Bus",F59="Moto","Moto",F59="Bicicleta o caminando","Bicicleta",F59="Ninguno, pues realicé 100% teletrabajo","No aplica",F59="Moto eléctrica","Moto eléctrica",F59="Vehículo eléctrico - Uso Individual","Vehículo eléctrico",F59="Vehículo eléctrico - Uso Compartido","Vehículo eléctrico")</f>
        <v>#NAME?</v>
      </c>
      <c r="J59" s="486">
        <v>1</v>
      </c>
      <c r="K59" s="1324" t="e">
        <f t="shared" ca="1" si="0"/>
        <v>#NAME?</v>
      </c>
      <c r="L59" s="1325">
        <f ca="1">+IFERROR(VLOOKUP(I59,'Factores Emisión EDGE'!$K$267:$L$272,2,0),0)</f>
        <v>0</v>
      </c>
      <c r="M59" s="1325" t="e">
        <f t="shared" ca="1" si="1"/>
        <v>#NAME?</v>
      </c>
      <c r="N59" s="486" t="s">
        <v>3043</v>
      </c>
      <c r="O59" s="1312"/>
      <c r="P59" s="1312"/>
    </row>
    <row r="60" spans="1:16" ht="15.75" customHeight="1">
      <c r="A60" s="1314">
        <v>44939.377355810182</v>
      </c>
      <c r="B60" s="1310" t="s">
        <v>3136</v>
      </c>
      <c r="C60" s="1310" t="s">
        <v>3137</v>
      </c>
      <c r="D60" s="1310" t="s">
        <v>3048</v>
      </c>
      <c r="E60" s="1310" t="s">
        <v>885</v>
      </c>
      <c r="F60" s="1310" t="s">
        <v>1952</v>
      </c>
      <c r="G60" s="1326">
        <v>35</v>
      </c>
      <c r="H60" s="486" t="e">
        <f t="array" aca="1" ref="H60" ca="1">+_xludf.IFS(E60="100% Presencial",1, E60="20% Teletrabajo (4 días a la semana)",0.8,E60="40% Teletrabajo (3 días a la semana)",0.6,E60="60% Teletrabajo (2 días a la semana)",0.4,E60="80% Teletrabajo (1 día a la semana)",0.2,E60="100% Teletrabajo",0)</f>
        <v>#NAME?</v>
      </c>
      <c r="I60" s="486" t="e">
        <f t="array" aca="1" ref="I60" ca="1">+_xludf.IFS(F60="Vehículo - Uso individual","Auto",F60="Vehículo - Uso compartido","Auto",F60="Transporte público/bus de acercamiento","Bus",F60="Moto","Moto",F60="Bicicleta o caminando","Bicicleta",F60="Ninguno, pues realicé 100% teletrabajo","No aplica",F60="Moto eléctrica","Moto eléctrica",F60="Vehículo eléctrico - Uso Individual","Vehículo eléctrico",F60="Vehículo eléctrico - Uso Compartido","Vehículo eléctrico")</f>
        <v>#NAME?</v>
      </c>
      <c r="J60" s="486">
        <v>1</v>
      </c>
      <c r="K60" s="1324" t="e">
        <f t="shared" ca="1" si="0"/>
        <v>#NAME?</v>
      </c>
      <c r="L60" s="1325">
        <f ca="1">+IFERROR(VLOOKUP(I60,'Factores Emisión EDGE'!$K$267:$L$272,2,0),0)</f>
        <v>0</v>
      </c>
      <c r="M60" s="1325" t="e">
        <f t="shared" ca="1" si="1"/>
        <v>#NAME?</v>
      </c>
      <c r="N60" s="486" t="s">
        <v>3043</v>
      </c>
      <c r="O60" s="1312"/>
      <c r="P60" s="1312"/>
    </row>
    <row r="61" spans="1:16" ht="15.75" customHeight="1">
      <c r="A61" s="1314">
        <v>44939.442465763888</v>
      </c>
      <c r="B61" s="1310" t="s">
        <v>3138</v>
      </c>
      <c r="C61" s="1310" t="s">
        <v>3139</v>
      </c>
      <c r="D61" s="1310" t="s">
        <v>3140</v>
      </c>
      <c r="E61" s="1310" t="s">
        <v>3042</v>
      </c>
      <c r="F61" s="1310" t="s">
        <v>1952</v>
      </c>
      <c r="G61" s="1326">
        <v>35</v>
      </c>
      <c r="H61" s="486" t="e">
        <f t="array" aca="1" ref="H61" ca="1">+_xludf.IFS(E61="100% Presencial",1, E61="20% Teletrabajo (4 días a la semana)",0.8,E61="40% Teletrabajo (3 días a la semana)",0.6,E61="60% Teletrabajo (2 días a la semana)",0.4,E61="80% Teletrabajo (1 día a la semana)",0.2,E61="100% Teletrabajo",0)</f>
        <v>#NAME?</v>
      </c>
      <c r="I61" s="486" t="e">
        <f t="array" aca="1" ref="I61" ca="1">+_xludf.IFS(F61="Vehículo - Uso individual","Auto",F61="Vehículo - Uso compartido","Auto",F61="Transporte público/bus de acercamiento","Bus",F61="Moto","Moto",F61="Bicicleta o caminando","Bicicleta",F61="Ninguno, pues realicé 100% teletrabajo","No aplica",F61="Moto eléctrica","Moto eléctrica",F61="Vehículo eléctrico - Uso Individual","Vehículo eléctrico",F61="Vehículo eléctrico - Uso Compartido","Vehículo eléctrico")</f>
        <v>#NAME?</v>
      </c>
      <c r="J61" s="486">
        <v>1</v>
      </c>
      <c r="K61" s="1324" t="e">
        <f t="shared" ca="1" si="0"/>
        <v>#NAME?</v>
      </c>
      <c r="L61" s="1325">
        <f ca="1">+IFERROR(VLOOKUP(I61,'Factores Emisión EDGE'!$K$267:$L$272,2,0),0)</f>
        <v>0</v>
      </c>
      <c r="M61" s="1325" t="e">
        <f t="shared" ca="1" si="1"/>
        <v>#NAME?</v>
      </c>
      <c r="N61" s="486" t="s">
        <v>3043</v>
      </c>
      <c r="O61" s="1312"/>
      <c r="P61" s="1312"/>
    </row>
    <row r="62" spans="1:16" ht="15.75" customHeight="1">
      <c r="A62" s="1314">
        <v>44939.44313255787</v>
      </c>
      <c r="B62" s="1310" t="s">
        <v>3141</v>
      </c>
      <c r="C62" s="1310" t="s">
        <v>2049</v>
      </c>
      <c r="D62" s="1310" t="s">
        <v>3048</v>
      </c>
      <c r="E62" s="1310" t="s">
        <v>3049</v>
      </c>
      <c r="F62" s="1310" t="s">
        <v>1952</v>
      </c>
      <c r="G62" s="1326">
        <v>35</v>
      </c>
      <c r="H62" s="486" t="e">
        <f t="array" aca="1" ref="H62" ca="1">+_xludf.IFS(E62="100% Presencial",1, E62="20% Teletrabajo (4 días a la semana)",0.8,E62="40% Teletrabajo (3 días a la semana)",0.6,E62="60% Teletrabajo (2 días a la semana)",0.4,E62="80% Teletrabajo (1 día a la semana)",0.2,E62="100% Teletrabajo",0)</f>
        <v>#NAME?</v>
      </c>
      <c r="I62" s="486" t="e">
        <f t="array" aca="1" ref="I62" ca="1">+_xludf.IFS(F62="Vehículo - Uso individual","Auto",F62="Vehículo - Uso compartido","Auto",F62="Transporte público/bus de acercamiento","Bus",F62="Moto","Moto",F62="Bicicleta o caminando","Bicicleta",F62="Ninguno, pues realicé 100% teletrabajo","No aplica",F62="Moto eléctrica","Moto eléctrica",F62="Vehículo eléctrico - Uso Individual","Vehículo eléctrico",F62="Vehículo eléctrico - Uso Compartido","Vehículo eléctrico")</f>
        <v>#NAME?</v>
      </c>
      <c r="J62" s="486">
        <v>1</v>
      </c>
      <c r="K62" s="1324" t="e">
        <f t="shared" ca="1" si="0"/>
        <v>#NAME?</v>
      </c>
      <c r="L62" s="1325">
        <f ca="1">+IFERROR(VLOOKUP(I62,'Factores Emisión EDGE'!$K$267:$L$272,2,0),0)</f>
        <v>0</v>
      </c>
      <c r="M62" s="1325" t="e">
        <f t="shared" ca="1" si="1"/>
        <v>#NAME?</v>
      </c>
      <c r="N62" s="486" t="s">
        <v>3043</v>
      </c>
      <c r="O62" s="1312"/>
      <c r="P62" s="1312"/>
    </row>
    <row r="63" spans="1:16" ht="15.75" customHeight="1">
      <c r="A63" s="1314">
        <v>44939.446517268516</v>
      </c>
      <c r="B63" s="1310" t="s">
        <v>3142</v>
      </c>
      <c r="C63" s="1310" t="s">
        <v>2476</v>
      </c>
      <c r="D63" s="1310" t="s">
        <v>3048</v>
      </c>
      <c r="E63" s="1310" t="s">
        <v>3066</v>
      </c>
      <c r="F63" s="1310" t="s">
        <v>1952</v>
      </c>
      <c r="G63" s="1326">
        <v>35</v>
      </c>
      <c r="H63" s="486" t="e">
        <f t="array" aca="1" ref="H63" ca="1">+_xludf.IFS(E63="100% Presencial",1, E63="20% Teletrabajo (4 días a la semana)",0.8,E63="40% Teletrabajo (3 días a la semana)",0.6,E63="60% Teletrabajo (2 días a la semana)",0.4,E63="80% Teletrabajo (1 día a la semana)",0.2,E63="100% Teletrabajo",0)</f>
        <v>#NAME?</v>
      </c>
      <c r="I63" s="486" t="e">
        <f t="array" aca="1" ref="I63" ca="1">+_xludf.IFS(F63="Vehículo - Uso individual","Auto",F63="Vehículo - Uso compartido","Auto",F63="Transporte público/bus de acercamiento","Bus",F63="Moto","Moto",F63="Bicicleta o caminando","Bicicleta",F63="Ninguno, pues realicé 100% teletrabajo","No aplica",F63="Moto eléctrica","Moto eléctrica",F63="Vehículo eléctrico - Uso Individual","Vehículo eléctrico",F63="Vehículo eléctrico - Uso Compartido","Vehículo eléctrico")</f>
        <v>#NAME?</v>
      </c>
      <c r="J63" s="486">
        <v>1</v>
      </c>
      <c r="K63" s="1324" t="e">
        <f t="shared" ca="1" si="0"/>
        <v>#NAME?</v>
      </c>
      <c r="L63" s="1325">
        <f ca="1">+IFERROR(VLOOKUP(I63,'Factores Emisión EDGE'!$K$267:$L$272,2,0),0)</f>
        <v>0</v>
      </c>
      <c r="M63" s="1325" t="e">
        <f t="shared" ca="1" si="1"/>
        <v>#NAME?</v>
      </c>
      <c r="N63" s="486" t="s">
        <v>3043</v>
      </c>
      <c r="O63" s="1312"/>
      <c r="P63" s="1312"/>
    </row>
    <row r="64" spans="1:16" ht="15.75" customHeight="1">
      <c r="A64" s="1314">
        <v>44939.795602199076</v>
      </c>
      <c r="B64" s="1310" t="s">
        <v>3143</v>
      </c>
      <c r="C64" s="1310" t="s">
        <v>2222</v>
      </c>
      <c r="D64" s="1310" t="s">
        <v>3063</v>
      </c>
      <c r="E64" s="1310" t="s">
        <v>3042</v>
      </c>
      <c r="F64" s="1310" t="s">
        <v>1995</v>
      </c>
      <c r="G64" s="1326">
        <v>35</v>
      </c>
      <c r="H64" s="486" t="e">
        <f t="array" aca="1" ref="H64" ca="1">+_xludf.IFS(E64="100% Presencial",1, E64="20% Teletrabajo (4 días a la semana)",0.8,E64="40% Teletrabajo (3 días a la semana)",0.6,E64="60% Teletrabajo (2 días a la semana)",0.4,E64="80% Teletrabajo (1 día a la semana)",0.2,E64="100% Teletrabajo",0)</f>
        <v>#NAME?</v>
      </c>
      <c r="I64" s="486" t="e">
        <f t="array" aca="1" ref="I64" ca="1">+_xludf.IFS(F64="Vehículo - Uso individual","Auto",F64="Vehículo - Uso compartido","Auto",F64="Transporte público/bus de acercamiento","Bus",F64="Moto","Moto",F64="Bicicleta o caminando","Bicicleta",F64="Ninguno, pues realicé 100% teletrabajo","No aplica",F64="Moto eléctrica","Moto eléctrica",F64="Vehículo eléctrico - Uso Individual","Vehículo eléctrico",F64="Vehículo eléctrico - Uso Compartido","Vehículo eléctrico")</f>
        <v>#NAME?</v>
      </c>
      <c r="J64" s="486">
        <v>0.25</v>
      </c>
      <c r="K64" s="1324" t="e">
        <f t="shared" ca="1" si="0"/>
        <v>#NAME?</v>
      </c>
      <c r="L64" s="1325">
        <f ca="1">+IFERROR(VLOOKUP(I64,'Factores Emisión EDGE'!$K$267:$L$272,2,0),0)</f>
        <v>0</v>
      </c>
      <c r="M64" s="1325" t="e">
        <f t="shared" ca="1" si="1"/>
        <v>#NAME?</v>
      </c>
      <c r="N64" s="486" t="s">
        <v>3043</v>
      </c>
      <c r="O64" s="1312"/>
      <c r="P64" s="1312"/>
    </row>
    <row r="65" spans="1:16" ht="15.75" customHeight="1">
      <c r="A65" s="1314">
        <v>44939.819092407408</v>
      </c>
      <c r="B65" s="1310" t="s">
        <v>3144</v>
      </c>
      <c r="C65" s="1310" t="s">
        <v>3145</v>
      </c>
      <c r="D65" s="1310" t="s">
        <v>3107</v>
      </c>
      <c r="E65" s="1310" t="s">
        <v>3042</v>
      </c>
      <c r="F65" s="1310" t="s">
        <v>1952</v>
      </c>
      <c r="G65" s="1326">
        <v>35</v>
      </c>
      <c r="H65" s="486" t="e">
        <f t="array" aca="1" ref="H65" ca="1">+_xludf.IFS(E65="100% Presencial",1, E65="20% Teletrabajo (4 días a la semana)",0.8,E65="40% Teletrabajo (3 días a la semana)",0.6,E65="60% Teletrabajo (2 días a la semana)",0.4,E65="80% Teletrabajo (1 día a la semana)",0.2,E65="100% Teletrabajo",0)</f>
        <v>#NAME?</v>
      </c>
      <c r="I65" s="486" t="e">
        <f t="array" aca="1" ref="I65" ca="1">+_xludf.IFS(F65="Vehículo - Uso individual","Auto",F65="Vehículo - Uso compartido","Auto",F65="Transporte público/bus de acercamiento","Bus",F65="Moto","Moto",F65="Bicicleta o caminando","Bicicleta",F65="Ninguno, pues realicé 100% teletrabajo","No aplica",F65="Moto eléctrica","Moto eléctrica",F65="Vehículo eléctrico - Uso Individual","Vehículo eléctrico",F65="Vehículo eléctrico - Uso Compartido","Vehículo eléctrico")</f>
        <v>#NAME?</v>
      </c>
      <c r="J65" s="486">
        <v>1</v>
      </c>
      <c r="K65" s="1324" t="e">
        <f t="shared" ca="1" si="0"/>
        <v>#NAME?</v>
      </c>
      <c r="L65" s="1325">
        <f ca="1">+IFERROR(VLOOKUP(I65,'Factores Emisión EDGE'!$K$267:$L$272,2,0),0)</f>
        <v>0</v>
      </c>
      <c r="M65" s="1325" t="e">
        <f t="shared" ca="1" si="1"/>
        <v>#NAME?</v>
      </c>
      <c r="N65" s="486" t="s">
        <v>3043</v>
      </c>
      <c r="O65" s="1312"/>
      <c r="P65" s="1312"/>
    </row>
    <row r="66" spans="1:16" ht="15.75" customHeight="1">
      <c r="A66" s="1314">
        <v>44929.500558113425</v>
      </c>
      <c r="B66" s="1310" t="s">
        <v>2015</v>
      </c>
      <c r="C66" s="1310" t="s">
        <v>2016</v>
      </c>
      <c r="D66" s="1310" t="s">
        <v>3048</v>
      </c>
      <c r="E66" s="1310" t="s">
        <v>885</v>
      </c>
      <c r="F66" s="1310" t="s">
        <v>1952</v>
      </c>
      <c r="G66" s="1326">
        <v>34</v>
      </c>
      <c r="H66" s="486" t="e">
        <f t="array" aca="1" ref="H66" ca="1">+_xludf.IFS(E66="100% Presencial",1, E66="20% Teletrabajo (4 días a la semana)",0.8,E66="40% Teletrabajo (3 días a la semana)",0.6,E66="60% Teletrabajo (2 días a la semana)",0.4,E66="80% Teletrabajo (1 día a la semana)",0.2,E66="100% Teletrabajo",0)</f>
        <v>#NAME?</v>
      </c>
      <c r="I66" s="486" t="e">
        <f t="array" aca="1" ref="I66" ca="1">+_xludf.IFS(F66="Vehículo - Uso individual","Auto",F66="Vehículo - Uso compartido","Auto",F66="Transporte público/bus de acercamiento","Bus",F66="Moto","Moto",F66="Bicicleta o caminando","Bicicleta",F66="Ninguno, pues realicé 100% teletrabajo","No aplica",F66="Moto eléctrica","Moto eléctrica",F66="Vehículo eléctrico - Uso Individual","Vehículo eléctrico",F66="Vehículo eléctrico - Uso Compartido","Vehículo eléctrico")</f>
        <v>#NAME?</v>
      </c>
      <c r="J66" s="486">
        <v>1</v>
      </c>
      <c r="K66" s="1324" t="e">
        <f t="shared" ca="1" si="0"/>
        <v>#NAME?</v>
      </c>
      <c r="L66" s="1325">
        <f ca="1">+IFERROR(VLOOKUP(I66,'Factores Emisión EDGE'!$K$267:$L$272,2,0),0)</f>
        <v>0</v>
      </c>
      <c r="M66" s="1325" t="e">
        <f t="shared" ca="1" si="1"/>
        <v>#NAME?</v>
      </c>
      <c r="N66" s="486" t="s">
        <v>3043</v>
      </c>
      <c r="O66" s="1312"/>
      <c r="P66" s="1312"/>
    </row>
    <row r="67" spans="1:16" ht="15.75" customHeight="1">
      <c r="A67" s="1314">
        <v>44930.577510335643</v>
      </c>
      <c r="B67" s="1310" t="s">
        <v>3146</v>
      </c>
      <c r="C67" s="1310" t="s">
        <v>2447</v>
      </c>
      <c r="D67" s="1310" t="s">
        <v>3048</v>
      </c>
      <c r="E67" s="1310" t="s">
        <v>885</v>
      </c>
      <c r="F67" s="1310" t="s">
        <v>3055</v>
      </c>
      <c r="G67" s="1326">
        <v>34</v>
      </c>
      <c r="H67" s="486" t="e">
        <f t="array" aca="1" ref="H67" ca="1">+_xludf.IFS(E67="100% Presencial",1, E67="20% Teletrabajo (4 días a la semana)",0.8,E67="40% Teletrabajo (3 días a la semana)",0.6,E67="60% Teletrabajo (2 días a la semana)",0.4,E67="80% Teletrabajo (1 día a la semana)",0.2,E67="100% Teletrabajo",0)</f>
        <v>#NAME?</v>
      </c>
      <c r="I67" s="486" t="e">
        <f t="array" aca="1" ref="I67" ca="1">+_xludf.IFS(F67="Vehículo - Uso individual","Auto",F67="Vehículo - Uso compartido","Auto",F67="Transporte público/bus de acercamiento","Bus",F67="Moto","Moto",F67="Bicicleta o caminando","Bicicleta",F67="Ninguno, pues realicé 100% teletrabajo","No aplica",F67="Moto eléctrica","Moto eléctrica",F67="Vehículo eléctrico - Uso Individual","Vehículo eléctrico",F67="Vehículo eléctrico - Uso Compartido","Vehículo eléctrico")</f>
        <v>#NAME?</v>
      </c>
      <c r="J67" s="486">
        <v>1</v>
      </c>
      <c r="K67" s="1324" t="e">
        <f t="shared" ca="1" si="0"/>
        <v>#NAME?</v>
      </c>
      <c r="L67" s="1325">
        <f ca="1">+IFERROR(VLOOKUP(I67,'Factores Emisión EDGE'!$K$267:$L$272,2,0),0)</f>
        <v>0</v>
      </c>
      <c r="M67" s="1325" t="e">
        <f t="shared" ca="1" si="1"/>
        <v>#NAME?</v>
      </c>
      <c r="N67" s="486" t="s">
        <v>3043</v>
      </c>
      <c r="O67" s="1312"/>
      <c r="P67" s="1312"/>
    </row>
    <row r="68" spans="1:16" ht="15.75" customHeight="1">
      <c r="A68" s="1314">
        <v>44930.376017245369</v>
      </c>
      <c r="B68" s="1310" t="s">
        <v>2247</v>
      </c>
      <c r="C68" s="1310" t="s">
        <v>2248</v>
      </c>
      <c r="D68" s="1310" t="s">
        <v>3048</v>
      </c>
      <c r="E68" s="1310" t="s">
        <v>3049</v>
      </c>
      <c r="F68" s="1310" t="s">
        <v>3050</v>
      </c>
      <c r="G68" s="1326">
        <v>50</v>
      </c>
      <c r="H68" s="486" t="e">
        <f t="array" aca="1" ref="H68" ca="1">+_xludf.IFS(E68="100% Presencial",1, E68="20% Teletrabajo (4 días a la semana)",0.8,E68="40% Teletrabajo (3 días a la semana)",0.6,E68="60% Teletrabajo (2 días a la semana)",0.4,E68="80% Teletrabajo (1 día a la semana)",0.2,E68="100% Teletrabajo",0)</f>
        <v>#NAME?</v>
      </c>
      <c r="I68" s="486" t="e">
        <f t="array" aca="1" ref="I68" ca="1">+_xludf.IFS(F68="Vehículo - Uso individual","Auto",F68="Vehículo - Uso compartido","Auto",F68="Transporte público/bus de acercamiento","Bus",F68="Moto","Moto",F68="Bicicleta o caminando","Bicicleta",F68="Ninguno, pues realicé 100% teletrabajo","No aplica",F68="Moto eléctrica","Moto eléctrica",F68="Vehículo eléctrico - Uso Individual","Vehículo eléctrico",F68="Vehículo eléctrico - Uso Compartido","Vehículo eléctrico")</f>
        <v>#NAME?</v>
      </c>
      <c r="J68" s="486">
        <v>1</v>
      </c>
      <c r="K68" s="1324" t="e">
        <f t="shared" ca="1" si="0"/>
        <v>#NAME?</v>
      </c>
      <c r="L68" s="1325">
        <f ca="1">+IFERROR(VLOOKUP(I68,'Factores Emisión EDGE'!$K$267:$L$272,2,0),0)</f>
        <v>0</v>
      </c>
      <c r="M68" s="1325" t="e">
        <f t="shared" ca="1" si="1"/>
        <v>#NAME?</v>
      </c>
      <c r="N68" s="486" t="s">
        <v>3043</v>
      </c>
      <c r="O68" s="1312"/>
      <c r="P68" s="1312"/>
    </row>
    <row r="69" spans="1:16" ht="15.75" customHeight="1">
      <c r="A69" s="1314">
        <v>44938.638338784724</v>
      </c>
      <c r="B69" s="1310" t="s">
        <v>3147</v>
      </c>
      <c r="C69" s="1310" t="s">
        <v>2232</v>
      </c>
      <c r="D69" s="1310" t="s">
        <v>3048</v>
      </c>
      <c r="E69" s="1310" t="s">
        <v>3066</v>
      </c>
      <c r="F69" s="1310" t="s">
        <v>1952</v>
      </c>
      <c r="G69" s="1326">
        <v>34</v>
      </c>
      <c r="H69" s="486" t="e">
        <f t="array" aca="1" ref="H69" ca="1">+_xludf.IFS(E69="100% Presencial",1, E69="20% Teletrabajo (4 días a la semana)",0.8,E69="40% Teletrabajo (3 días a la semana)",0.6,E69="60% Teletrabajo (2 días a la semana)",0.4,E69="80% Teletrabajo (1 día a la semana)",0.2,E69="100% Teletrabajo",0)</f>
        <v>#NAME?</v>
      </c>
      <c r="I69" s="486" t="e">
        <f t="array" aca="1" ref="I69" ca="1">+_xludf.IFS(F69="Vehículo - Uso individual","Auto",F69="Vehículo - Uso compartido","Auto",F69="Transporte público/bus de acercamiento","Bus",F69="Moto","Moto",F69="Bicicleta o caminando","Bicicleta",F69="Ninguno, pues realicé 100% teletrabajo","No aplica",F69="Moto eléctrica","Moto eléctrica",F69="Vehículo eléctrico - Uso Individual","Vehículo eléctrico",F69="Vehículo eléctrico - Uso Compartido","Vehículo eléctrico")</f>
        <v>#NAME?</v>
      </c>
      <c r="J69" s="486">
        <v>1</v>
      </c>
      <c r="K69" s="1324" t="e">
        <f t="shared" ca="1" si="0"/>
        <v>#NAME?</v>
      </c>
      <c r="L69" s="1325">
        <f ca="1">+IFERROR(VLOOKUP(I69,'Factores Emisión EDGE'!$K$267:$L$272,2,0),0)</f>
        <v>0</v>
      </c>
      <c r="M69" s="1325" t="e">
        <f t="shared" ca="1" si="1"/>
        <v>#NAME?</v>
      </c>
      <c r="N69" s="486" t="s">
        <v>3043</v>
      </c>
      <c r="O69" s="1312"/>
      <c r="P69" s="1312"/>
    </row>
    <row r="70" spans="1:16" ht="15.75" customHeight="1">
      <c r="A70" s="1314">
        <v>44939.4323577662</v>
      </c>
      <c r="B70" s="1310" t="s">
        <v>3148</v>
      </c>
      <c r="C70" s="1310" t="s">
        <v>3149</v>
      </c>
      <c r="D70" s="1310" t="s">
        <v>3048</v>
      </c>
      <c r="E70" s="1310" t="s">
        <v>883</v>
      </c>
      <c r="F70" s="1310" t="s">
        <v>1952</v>
      </c>
      <c r="G70" s="1326">
        <v>33</v>
      </c>
      <c r="H70" s="486" t="e">
        <f t="array" aca="1" ref="H70" ca="1">+_xludf.IFS(E70="100% Presencial",1, E70="20% Teletrabajo (4 días a la semana)",0.8,E70="40% Teletrabajo (3 días a la semana)",0.6,E70="60% Teletrabajo (2 días a la semana)",0.4,E70="80% Teletrabajo (1 día a la semana)",0.2,E70="100% Teletrabajo",0)</f>
        <v>#NAME?</v>
      </c>
      <c r="I70" s="486" t="e">
        <f t="array" aca="1" ref="I70" ca="1">+_xludf.IFS(F70="Vehículo - Uso individual","Auto",F70="Vehículo - Uso compartido","Auto",F70="Transporte público/bus de acercamiento","Bus",F70="Moto","Moto",F70="Bicicleta o caminando","Bicicleta",F70="Ninguno, pues realicé 100% teletrabajo","No aplica",F70="Moto eléctrica","Moto eléctrica",F70="Vehículo eléctrico - Uso Individual","Vehículo eléctrico",F70="Vehículo eléctrico - Uso Compartido","Vehículo eléctrico")</f>
        <v>#NAME?</v>
      </c>
      <c r="J70" s="486">
        <v>1</v>
      </c>
      <c r="K70" s="1324" t="e">
        <f t="shared" ca="1" si="0"/>
        <v>#NAME?</v>
      </c>
      <c r="L70" s="1325">
        <f ca="1">+IFERROR(VLOOKUP(I70,'Factores Emisión EDGE'!$K$267:$L$272,2,0),0)</f>
        <v>0</v>
      </c>
      <c r="M70" s="1325" t="e">
        <f t="shared" ca="1" si="1"/>
        <v>#NAME?</v>
      </c>
      <c r="N70" s="486" t="s">
        <v>3043</v>
      </c>
      <c r="O70" s="1312"/>
      <c r="P70" s="1312"/>
    </row>
    <row r="71" spans="1:16" ht="15.75" customHeight="1">
      <c r="A71" s="1314">
        <v>44935.955115069446</v>
      </c>
      <c r="B71" s="1310" t="s">
        <v>2787</v>
      </c>
      <c r="C71" s="1310" t="s">
        <v>2788</v>
      </c>
      <c r="D71" s="1310" t="s">
        <v>3048</v>
      </c>
      <c r="E71" s="1310" t="s">
        <v>3066</v>
      </c>
      <c r="F71" s="1310" t="s">
        <v>1952</v>
      </c>
      <c r="G71" s="1326">
        <v>33</v>
      </c>
      <c r="H71" s="486" t="e">
        <f t="array" aca="1" ref="H71" ca="1">+_xludf.IFS(E71="100% Presencial",1, E71="20% Teletrabajo (4 días a la semana)",0.8,E71="40% Teletrabajo (3 días a la semana)",0.6,E71="60% Teletrabajo (2 días a la semana)",0.4,E71="80% Teletrabajo (1 día a la semana)",0.2,E71="100% Teletrabajo",0)</f>
        <v>#NAME?</v>
      </c>
      <c r="I71" s="486" t="e">
        <f t="array" aca="1" ref="I71" ca="1">+_xludf.IFS(F71="Vehículo - Uso individual","Auto",F71="Vehículo - Uso compartido","Auto",F71="Transporte público/bus de acercamiento","Bus",F71="Moto","Moto",F71="Bicicleta o caminando","Bicicleta",F71="Ninguno, pues realicé 100% teletrabajo","No aplica",F71="Moto eléctrica","Moto eléctrica",F71="Vehículo eléctrico - Uso Individual","Vehículo eléctrico",F71="Vehículo eléctrico - Uso Compartido","Vehículo eléctrico")</f>
        <v>#NAME?</v>
      </c>
      <c r="J71" s="486">
        <v>1</v>
      </c>
      <c r="K71" s="1324" t="e">
        <f t="shared" ca="1" si="0"/>
        <v>#NAME?</v>
      </c>
      <c r="L71" s="1325">
        <f ca="1">+IFERROR(VLOOKUP(I71,'Factores Emisión EDGE'!$K$267:$L$272,2,0),0)</f>
        <v>0</v>
      </c>
      <c r="M71" s="1325" t="e">
        <f t="shared" ca="1" si="1"/>
        <v>#NAME?</v>
      </c>
      <c r="N71" s="486" t="s">
        <v>3043</v>
      </c>
      <c r="O71" s="1312"/>
      <c r="P71" s="1312"/>
    </row>
    <row r="72" spans="1:16" ht="15.75" customHeight="1">
      <c r="A72" s="1314">
        <v>44939.391256724542</v>
      </c>
      <c r="B72" s="1310" t="s">
        <v>2631</v>
      </c>
      <c r="C72" s="1310" t="s">
        <v>2632</v>
      </c>
      <c r="D72" s="1310" t="s">
        <v>3048</v>
      </c>
      <c r="E72" s="1310" t="s">
        <v>881</v>
      </c>
      <c r="F72" s="1310" t="s">
        <v>1952</v>
      </c>
      <c r="G72" s="1326">
        <v>33</v>
      </c>
      <c r="H72" s="486" t="e">
        <f t="array" aca="1" ref="H72" ca="1">+_xludf.IFS(E72="100% Presencial",1, E72="20% Teletrabajo (4 días a la semana)",0.8,E72="40% Teletrabajo (3 días a la semana)",0.6,E72="60% Teletrabajo (2 días a la semana)",0.4,E72="80% Teletrabajo (1 día a la semana)",0.2,E72="100% Teletrabajo",0)</f>
        <v>#NAME?</v>
      </c>
      <c r="I72" s="486" t="e">
        <f t="array" aca="1" ref="I72" ca="1">+_xludf.IFS(F72="Vehículo - Uso individual","Auto",F72="Vehículo - Uso compartido","Auto",F72="Transporte público/bus de acercamiento","Bus",F72="Moto","Moto",F72="Bicicleta o caminando","Bicicleta",F72="Ninguno, pues realicé 100% teletrabajo","No aplica",F72="Moto eléctrica","Moto eléctrica",F72="Vehículo eléctrico - Uso Individual","Vehículo eléctrico",F72="Vehículo eléctrico - Uso Compartido","Vehículo eléctrico")</f>
        <v>#NAME?</v>
      </c>
      <c r="J72" s="486">
        <v>1</v>
      </c>
      <c r="K72" s="1324" t="e">
        <f t="shared" ca="1" si="0"/>
        <v>#NAME?</v>
      </c>
      <c r="L72" s="1325">
        <f ca="1">+IFERROR(VLOOKUP(I72,'Factores Emisión EDGE'!$K$267:$L$272,2,0),0)</f>
        <v>0</v>
      </c>
      <c r="M72" s="1325" t="e">
        <f t="shared" ca="1" si="1"/>
        <v>#NAME?</v>
      </c>
      <c r="N72" s="486" t="s">
        <v>3043</v>
      </c>
      <c r="O72" s="1312"/>
      <c r="P72" s="1312"/>
    </row>
    <row r="73" spans="1:16" ht="15.75" customHeight="1">
      <c r="A73" s="1314">
        <v>44939.577444988427</v>
      </c>
      <c r="B73" s="1310" t="s">
        <v>3150</v>
      </c>
      <c r="C73" s="1310" t="s">
        <v>2709</v>
      </c>
      <c r="D73" s="1310" t="s">
        <v>3083</v>
      </c>
      <c r="E73" s="1310" t="s">
        <v>3042</v>
      </c>
      <c r="F73" s="1310" t="s">
        <v>1952</v>
      </c>
      <c r="G73" s="1326">
        <v>33</v>
      </c>
      <c r="H73" s="486" t="e">
        <f t="array" aca="1" ref="H73" ca="1">+_xludf.IFS(E73="100% Presencial",1, E73="20% Teletrabajo (4 días a la semana)",0.8,E73="40% Teletrabajo (3 días a la semana)",0.6,E73="60% Teletrabajo (2 días a la semana)",0.4,E73="80% Teletrabajo (1 día a la semana)",0.2,E73="100% Teletrabajo",0)</f>
        <v>#NAME?</v>
      </c>
      <c r="I73" s="486" t="e">
        <f t="array" aca="1" ref="I73" ca="1">+_xludf.IFS(F73="Vehículo - Uso individual","Auto",F73="Vehículo - Uso compartido","Auto",F73="Transporte público/bus de acercamiento","Bus",F73="Moto","Moto",F73="Bicicleta o caminando","Bicicleta",F73="Ninguno, pues realicé 100% teletrabajo","No aplica",F73="Moto eléctrica","Moto eléctrica",F73="Vehículo eléctrico - Uso Individual","Vehículo eléctrico",F73="Vehículo eléctrico - Uso Compartido","Vehículo eléctrico")</f>
        <v>#NAME?</v>
      </c>
      <c r="J73" s="486">
        <v>1</v>
      </c>
      <c r="K73" s="1324" t="e">
        <f t="shared" ca="1" si="0"/>
        <v>#NAME?</v>
      </c>
      <c r="L73" s="1325">
        <f ca="1">+IFERROR(VLOOKUP(I73,'Factores Emisión EDGE'!$K$267:$L$272,2,0),0)</f>
        <v>0</v>
      </c>
      <c r="M73" s="1325" t="e">
        <f t="shared" ca="1" si="1"/>
        <v>#NAME?</v>
      </c>
      <c r="N73" s="486" t="s">
        <v>3043</v>
      </c>
      <c r="O73" s="1312"/>
      <c r="P73" s="1312"/>
    </row>
    <row r="74" spans="1:16" ht="15.75" customHeight="1">
      <c r="A74" s="1314">
        <v>44929.481709340282</v>
      </c>
      <c r="B74" s="1310" t="s">
        <v>3151</v>
      </c>
      <c r="C74" s="1310" t="s">
        <v>3152</v>
      </c>
      <c r="D74" s="1310" t="s">
        <v>3063</v>
      </c>
      <c r="E74" s="1310" t="s">
        <v>3042</v>
      </c>
      <c r="F74" s="1310" t="s">
        <v>1952</v>
      </c>
      <c r="G74" s="1326">
        <v>32</v>
      </c>
      <c r="H74" s="486" t="e">
        <f t="array" aca="1" ref="H74" ca="1">+_xludf.IFS(E74="100% Presencial",1, E74="20% Teletrabajo (4 días a la semana)",0.8,E74="40% Teletrabajo (3 días a la semana)",0.6,E74="60% Teletrabajo (2 días a la semana)",0.4,E74="80% Teletrabajo (1 día a la semana)",0.2,E74="100% Teletrabajo",0)</f>
        <v>#NAME?</v>
      </c>
      <c r="I74" s="486" t="e">
        <f t="array" aca="1" ref="I74" ca="1">+_xludf.IFS(F74="Vehículo - Uso individual","Auto",F74="Vehículo - Uso compartido","Auto",F74="Transporte público/bus de acercamiento","Bus",F74="Moto","Moto",F74="Bicicleta o caminando","Bicicleta",F74="Ninguno, pues realicé 100% teletrabajo","No aplica",F74="Moto eléctrica","Moto eléctrica",F74="Vehículo eléctrico - Uso Individual","Vehículo eléctrico",F74="Vehículo eléctrico - Uso Compartido","Vehículo eléctrico")</f>
        <v>#NAME?</v>
      </c>
      <c r="J74" s="486">
        <v>1</v>
      </c>
      <c r="K74" s="1324" t="e">
        <f t="shared" ca="1" si="0"/>
        <v>#NAME?</v>
      </c>
      <c r="L74" s="1325">
        <f ca="1">+IFERROR(VLOOKUP(I74,'Factores Emisión EDGE'!$K$267:$L$272,2,0),0)</f>
        <v>0</v>
      </c>
      <c r="M74" s="1325" t="e">
        <f t="shared" ca="1" si="1"/>
        <v>#NAME?</v>
      </c>
      <c r="N74" s="486" t="s">
        <v>3056</v>
      </c>
      <c r="O74" s="1312"/>
      <c r="P74" s="1312"/>
    </row>
    <row r="75" spans="1:16" ht="15.75" customHeight="1">
      <c r="A75" s="1314">
        <v>44929.542135312498</v>
      </c>
      <c r="B75" s="1310" t="s">
        <v>3153</v>
      </c>
      <c r="C75" s="1310" t="s">
        <v>2082</v>
      </c>
      <c r="D75" s="1310" t="s">
        <v>3048</v>
      </c>
      <c r="E75" s="1310" t="s">
        <v>885</v>
      </c>
      <c r="F75" s="1310" t="s">
        <v>3055</v>
      </c>
      <c r="G75" s="1326">
        <v>32</v>
      </c>
      <c r="H75" s="486" t="e">
        <f t="array" aca="1" ref="H75" ca="1">+_xludf.IFS(E75="100% Presencial",1, E75="20% Teletrabajo (4 días a la semana)",0.8,E75="40% Teletrabajo (3 días a la semana)",0.6,E75="60% Teletrabajo (2 días a la semana)",0.4,E75="80% Teletrabajo (1 día a la semana)",0.2,E75="100% Teletrabajo",0)</f>
        <v>#NAME?</v>
      </c>
      <c r="I75" s="486" t="e">
        <f t="array" aca="1" ref="I75" ca="1">+_xludf.IFS(F75="Vehículo - Uso individual","Auto",F75="Vehículo - Uso compartido","Auto",F75="Transporte público/bus de acercamiento","Bus",F75="Moto","Moto",F75="Bicicleta o caminando","Bicicleta",F75="Ninguno, pues realicé 100% teletrabajo","No aplica",F75="Moto eléctrica","Moto eléctrica",F75="Vehículo eléctrico - Uso Individual","Vehículo eléctrico",F75="Vehículo eléctrico - Uso Compartido","Vehículo eléctrico")</f>
        <v>#NAME?</v>
      </c>
      <c r="J75" s="486">
        <v>1</v>
      </c>
      <c r="K75" s="1324" t="e">
        <f t="shared" ca="1" si="0"/>
        <v>#NAME?</v>
      </c>
      <c r="L75" s="1325">
        <f ca="1">+IFERROR(VLOOKUP(I75,'Factores Emisión EDGE'!$K$267:$L$272,2,0),0)</f>
        <v>0</v>
      </c>
      <c r="M75" s="1325" t="e">
        <f t="shared" ca="1" si="1"/>
        <v>#NAME?</v>
      </c>
      <c r="N75" s="486" t="s">
        <v>3043</v>
      </c>
      <c r="O75" s="1312"/>
      <c r="P75" s="1312"/>
    </row>
    <row r="76" spans="1:16" ht="15.75" customHeight="1">
      <c r="A76" s="1314">
        <v>44939.37645625</v>
      </c>
      <c r="B76" s="1310" t="s">
        <v>3154</v>
      </c>
      <c r="C76" s="1310" t="s">
        <v>2074</v>
      </c>
      <c r="D76" s="1310" t="s">
        <v>3063</v>
      </c>
      <c r="E76" s="1310" t="s">
        <v>3042</v>
      </c>
      <c r="F76" s="1310" t="s">
        <v>1952</v>
      </c>
      <c r="G76" s="1326">
        <v>32</v>
      </c>
      <c r="H76" s="486" t="e">
        <f t="array" aca="1" ref="H76" ca="1">+_xludf.IFS(E76="100% Presencial",1, E76="20% Teletrabajo (4 días a la semana)",0.8,E76="40% Teletrabajo (3 días a la semana)",0.6,E76="60% Teletrabajo (2 días a la semana)",0.4,E76="80% Teletrabajo (1 día a la semana)",0.2,E76="100% Teletrabajo",0)</f>
        <v>#NAME?</v>
      </c>
      <c r="I76" s="486" t="e">
        <f t="array" aca="1" ref="I76" ca="1">+_xludf.IFS(F76="Vehículo - Uso individual","Auto",F76="Vehículo - Uso compartido","Auto",F76="Transporte público/bus de acercamiento","Bus",F76="Moto","Moto",F76="Bicicleta o caminando","Bicicleta",F76="Ninguno, pues realicé 100% teletrabajo","No aplica",F76="Moto eléctrica","Moto eléctrica",F76="Vehículo eléctrico - Uso Individual","Vehículo eléctrico",F76="Vehículo eléctrico - Uso Compartido","Vehículo eléctrico")</f>
        <v>#NAME?</v>
      </c>
      <c r="J76" s="486">
        <v>1</v>
      </c>
      <c r="K76" s="1324" t="e">
        <f t="shared" ca="1" si="0"/>
        <v>#NAME?</v>
      </c>
      <c r="L76" s="1325">
        <f ca="1">+IFERROR(VLOOKUP(I76,'Factores Emisión EDGE'!$K$267:$L$272,2,0),0)</f>
        <v>0</v>
      </c>
      <c r="M76" s="1325" t="e">
        <f t="shared" ca="1" si="1"/>
        <v>#NAME?</v>
      </c>
      <c r="N76" s="486" t="s">
        <v>3043</v>
      </c>
      <c r="O76" s="1312"/>
      <c r="P76" s="1312"/>
    </row>
    <row r="77" spans="1:16" ht="15.75" customHeight="1">
      <c r="A77" s="1314">
        <v>44931.47577824074</v>
      </c>
      <c r="B77" s="1310" t="s">
        <v>3155</v>
      </c>
      <c r="C77" s="1310" t="s">
        <v>2005</v>
      </c>
      <c r="D77" s="1310" t="s">
        <v>3048</v>
      </c>
      <c r="E77" s="1310" t="s">
        <v>3042</v>
      </c>
      <c r="F77" s="1310" t="s">
        <v>3055</v>
      </c>
      <c r="G77" s="1326">
        <v>31.7</v>
      </c>
      <c r="H77" s="486" t="e">
        <f t="array" aca="1" ref="H77" ca="1">+_xludf.IFS(E77="100% Presencial",1, E77="20% Teletrabajo (4 días a la semana)",0.8,E77="40% Teletrabajo (3 días a la semana)",0.6,E77="60% Teletrabajo (2 días a la semana)",0.4,E77="80% Teletrabajo (1 día a la semana)",0.2,E77="100% Teletrabajo",0)</f>
        <v>#NAME?</v>
      </c>
      <c r="I77" s="486" t="e">
        <f t="array" aca="1" ref="I77" ca="1">+_xludf.IFS(F77="Vehículo - Uso individual","Auto",F77="Vehículo - Uso compartido","Auto",F77="Transporte público/bus de acercamiento","Bus",F77="Moto","Moto",F77="Bicicleta o caminando","Bicicleta",F77="Ninguno, pues realicé 100% teletrabajo","No aplica",F77="Moto eléctrica","Moto eléctrica",F77="Vehículo eléctrico - Uso Individual","Vehículo eléctrico",F77="Vehículo eléctrico - Uso Compartido","Vehículo eléctrico")</f>
        <v>#NAME?</v>
      </c>
      <c r="J77" s="486">
        <v>1</v>
      </c>
      <c r="K77" s="1324" t="e">
        <f t="shared" ca="1" si="0"/>
        <v>#NAME?</v>
      </c>
      <c r="L77" s="1325">
        <f ca="1">+IFERROR(VLOOKUP(I77,'Factores Emisión EDGE'!$K$267:$L$272,2,0),0)</f>
        <v>0</v>
      </c>
      <c r="M77" s="1325" t="e">
        <f t="shared" ca="1" si="1"/>
        <v>#NAME?</v>
      </c>
      <c r="N77" s="486" t="s">
        <v>3043</v>
      </c>
      <c r="O77" s="1312"/>
      <c r="P77" s="1312"/>
    </row>
    <row r="78" spans="1:16" ht="15.75" customHeight="1">
      <c r="A78" s="1314">
        <v>44929.536115104165</v>
      </c>
      <c r="B78" s="1310" t="s">
        <v>2042</v>
      </c>
      <c r="C78" s="1310" t="s">
        <v>2043</v>
      </c>
      <c r="D78" s="1310" t="s">
        <v>3048</v>
      </c>
      <c r="E78" s="1310" t="s">
        <v>3042</v>
      </c>
      <c r="F78" s="1310" t="s">
        <v>1995</v>
      </c>
      <c r="G78" s="1326">
        <v>30</v>
      </c>
      <c r="H78" s="486" t="e">
        <f t="array" aca="1" ref="H78" ca="1">+_xludf.IFS(E78="100% Presencial",1, E78="20% Teletrabajo (4 días a la semana)",0.8,E78="40% Teletrabajo (3 días a la semana)",0.6,E78="60% Teletrabajo (2 días a la semana)",0.4,E78="80% Teletrabajo (1 día a la semana)",0.2,E78="100% Teletrabajo",0)</f>
        <v>#NAME?</v>
      </c>
      <c r="I78" s="486" t="e">
        <f t="array" aca="1" ref="I78" ca="1">+_xludf.IFS(F78="Vehículo - Uso individual","Auto",F78="Vehículo - Uso compartido","Auto",F78="Transporte público/bus de acercamiento","Bus",F78="Moto","Moto",F78="Bicicleta o caminando","Bicicleta",F78="Ninguno, pues realicé 100% teletrabajo","No aplica",F78="Moto eléctrica","Moto eléctrica",F78="Vehículo eléctrico - Uso Individual","Vehículo eléctrico",F78="Vehículo eléctrico - Uso Compartido","Vehículo eléctrico")</f>
        <v>#NAME?</v>
      </c>
      <c r="J78" s="486">
        <v>0.25</v>
      </c>
      <c r="K78" s="1324" t="e">
        <f t="shared" ca="1" si="0"/>
        <v>#NAME?</v>
      </c>
      <c r="L78" s="1325">
        <f ca="1">+IFERROR(VLOOKUP(I78,'Factores Emisión EDGE'!$K$267:$L$272,2,0),0)</f>
        <v>0</v>
      </c>
      <c r="M78" s="1325" t="e">
        <f t="shared" ca="1" si="1"/>
        <v>#NAME?</v>
      </c>
      <c r="N78" s="486" t="s">
        <v>3043</v>
      </c>
      <c r="O78" s="1312"/>
      <c r="P78" s="1312"/>
    </row>
    <row r="79" spans="1:16" ht="15.75" customHeight="1">
      <c r="A79" s="1314">
        <v>44932.433576435185</v>
      </c>
      <c r="B79" s="1310" t="s">
        <v>3156</v>
      </c>
      <c r="C79" s="1310" t="s">
        <v>3157</v>
      </c>
      <c r="D79" s="1310" t="s">
        <v>3048</v>
      </c>
      <c r="E79" s="1310" t="s">
        <v>3042</v>
      </c>
      <c r="F79" s="1310" t="s">
        <v>1952</v>
      </c>
      <c r="G79" s="1326">
        <v>30</v>
      </c>
      <c r="H79" s="486" t="e">
        <f t="array" aca="1" ref="H79" ca="1">+_xludf.IFS(E79="100% Presencial",1, E79="20% Teletrabajo (4 días a la semana)",0.8,E79="40% Teletrabajo (3 días a la semana)",0.6,E79="60% Teletrabajo (2 días a la semana)",0.4,E79="80% Teletrabajo (1 día a la semana)",0.2,E79="100% Teletrabajo",0)</f>
        <v>#NAME?</v>
      </c>
      <c r="I79" s="486" t="e">
        <f t="array" aca="1" ref="I79" ca="1">+_xludf.IFS(F79="Vehículo - Uso individual","Auto",F79="Vehículo - Uso compartido","Auto",F79="Transporte público/bus de acercamiento","Bus",F79="Moto","Moto",F79="Bicicleta o caminando","Bicicleta",F79="Ninguno, pues realicé 100% teletrabajo","No aplica",F79="Moto eléctrica","Moto eléctrica",F79="Vehículo eléctrico - Uso Individual","Vehículo eléctrico",F79="Vehículo eléctrico - Uso Compartido","Vehículo eléctrico")</f>
        <v>#NAME?</v>
      </c>
      <c r="J79" s="486">
        <v>1</v>
      </c>
      <c r="K79" s="1324" t="e">
        <f t="shared" ca="1" si="0"/>
        <v>#NAME?</v>
      </c>
      <c r="L79" s="1325">
        <f ca="1">+IFERROR(VLOOKUP(I79,'Factores Emisión EDGE'!$K$267:$L$272,2,0),0)</f>
        <v>0</v>
      </c>
      <c r="M79" s="1325" t="e">
        <f t="shared" ca="1" si="1"/>
        <v>#NAME?</v>
      </c>
      <c r="N79" s="486" t="s">
        <v>3056</v>
      </c>
      <c r="O79" s="1312"/>
      <c r="P79" s="1312"/>
    </row>
    <row r="80" spans="1:16" ht="15.75" customHeight="1">
      <c r="A80" s="1314">
        <v>44938.797501215275</v>
      </c>
      <c r="B80" s="1310" t="s">
        <v>3158</v>
      </c>
      <c r="C80" s="1310" t="s">
        <v>3159</v>
      </c>
      <c r="D80" s="1310" t="s">
        <v>3048</v>
      </c>
      <c r="E80" s="1310" t="s">
        <v>3042</v>
      </c>
      <c r="F80" s="1310" t="s">
        <v>1995</v>
      </c>
      <c r="G80" s="1326">
        <v>30</v>
      </c>
      <c r="H80" s="486" t="e">
        <f t="array" aca="1" ref="H80" ca="1">+_xludf.IFS(E80="100% Presencial",1, E80="20% Teletrabajo (4 días a la semana)",0.8,E80="40% Teletrabajo (3 días a la semana)",0.6,E80="60% Teletrabajo (2 días a la semana)",0.4,E80="80% Teletrabajo (1 día a la semana)",0.2,E80="100% Teletrabajo",0)</f>
        <v>#NAME?</v>
      </c>
      <c r="I80" s="486" t="e">
        <f t="array" aca="1" ref="I80" ca="1">+_xludf.IFS(F80="Vehículo - Uso individual","Auto",F80="Vehículo - Uso compartido","Auto",F80="Transporte público/bus de acercamiento","Bus",F80="Moto","Moto",F80="Bicicleta o caminando","Bicicleta",F80="Ninguno, pues realicé 100% teletrabajo","No aplica",F80="Moto eléctrica","Moto eléctrica",F80="Vehículo eléctrico - Uso Individual","Vehículo eléctrico",F80="Vehículo eléctrico - Uso Compartido","Vehículo eléctrico")</f>
        <v>#NAME?</v>
      </c>
      <c r="J80" s="486">
        <v>0.25</v>
      </c>
      <c r="K80" s="1324" t="e">
        <f t="shared" ca="1" si="0"/>
        <v>#NAME?</v>
      </c>
      <c r="L80" s="1325">
        <f ca="1">+IFERROR(VLOOKUP(I80,'Factores Emisión EDGE'!$K$267:$L$272,2,0),0)</f>
        <v>0</v>
      </c>
      <c r="M80" s="1325" t="e">
        <f t="shared" ca="1" si="1"/>
        <v>#NAME?</v>
      </c>
      <c r="N80" s="486" t="s">
        <v>3056</v>
      </c>
      <c r="O80" s="1312"/>
      <c r="P80" s="1312"/>
    </row>
    <row r="81" spans="1:16" ht="15.75" customHeight="1">
      <c r="A81" s="1314">
        <v>44939.451847962962</v>
      </c>
      <c r="B81" s="1310" t="s">
        <v>3160</v>
      </c>
      <c r="C81" s="1310" t="s">
        <v>3161</v>
      </c>
      <c r="D81" s="1310" t="s">
        <v>3162</v>
      </c>
      <c r="E81" s="1310" t="s">
        <v>3042</v>
      </c>
      <c r="F81" s="1310" t="s">
        <v>1952</v>
      </c>
      <c r="G81" s="1326">
        <v>30</v>
      </c>
      <c r="H81" s="486" t="e">
        <f t="array" aca="1" ref="H81" ca="1">+_xludf.IFS(E81="100% Presencial",1, E81="20% Teletrabajo (4 días a la semana)",0.8,E81="40% Teletrabajo (3 días a la semana)",0.6,E81="60% Teletrabajo (2 días a la semana)",0.4,E81="80% Teletrabajo (1 día a la semana)",0.2,E81="100% Teletrabajo",0)</f>
        <v>#NAME?</v>
      </c>
      <c r="I81" s="486" t="e">
        <f t="array" aca="1" ref="I81" ca="1">+_xludf.IFS(F81="Vehículo - Uso individual","Auto",F81="Vehículo - Uso compartido","Auto",F81="Transporte público/bus de acercamiento","Bus",F81="Moto","Moto",F81="Bicicleta o caminando","Bicicleta",F81="Ninguno, pues realicé 100% teletrabajo","No aplica",F81="Moto eléctrica","Moto eléctrica",F81="Vehículo eléctrico - Uso Individual","Vehículo eléctrico",F81="Vehículo eléctrico - Uso Compartido","Vehículo eléctrico")</f>
        <v>#NAME?</v>
      </c>
      <c r="J81" s="486">
        <v>1</v>
      </c>
      <c r="K81" s="1324" t="e">
        <f t="shared" ca="1" si="0"/>
        <v>#NAME?</v>
      </c>
      <c r="L81" s="1325">
        <f ca="1">+IFERROR(VLOOKUP(I81,'Factores Emisión EDGE'!$K$267:$L$272,2,0),0)</f>
        <v>0</v>
      </c>
      <c r="M81" s="1325" t="e">
        <f t="shared" ca="1" si="1"/>
        <v>#NAME?</v>
      </c>
      <c r="N81" s="486" t="s">
        <v>3043</v>
      </c>
      <c r="O81" s="1312"/>
      <c r="P81" s="1312"/>
    </row>
    <row r="82" spans="1:16" ht="15.75" customHeight="1">
      <c r="A82" s="1314">
        <v>44939.75264450231</v>
      </c>
      <c r="B82" s="1310" t="s">
        <v>3163</v>
      </c>
      <c r="C82" s="1310" t="s">
        <v>3164</v>
      </c>
      <c r="D82" s="1310" t="s">
        <v>3063</v>
      </c>
      <c r="E82" s="1310" t="s">
        <v>883</v>
      </c>
      <c r="F82" s="1310" t="s">
        <v>1952</v>
      </c>
      <c r="G82" s="1326">
        <v>30</v>
      </c>
      <c r="H82" s="486" t="e">
        <f t="array" aca="1" ref="H82" ca="1">+_xludf.IFS(E82="100% Presencial",1, E82="20% Teletrabajo (4 días a la semana)",0.8,E82="40% Teletrabajo (3 días a la semana)",0.6,E82="60% Teletrabajo (2 días a la semana)",0.4,E82="80% Teletrabajo (1 día a la semana)",0.2,E82="100% Teletrabajo",0)</f>
        <v>#NAME?</v>
      </c>
      <c r="I82" s="486" t="e">
        <f t="array" aca="1" ref="I82" ca="1">+_xludf.IFS(F82="Vehículo - Uso individual","Auto",F82="Vehículo - Uso compartido","Auto",F82="Transporte público/bus de acercamiento","Bus",F82="Moto","Moto",F82="Bicicleta o caminando","Bicicleta",F82="Ninguno, pues realicé 100% teletrabajo","No aplica",F82="Moto eléctrica","Moto eléctrica",F82="Vehículo eléctrico - Uso Individual","Vehículo eléctrico",F82="Vehículo eléctrico - Uso Compartido","Vehículo eléctrico")</f>
        <v>#NAME?</v>
      </c>
      <c r="J82" s="486">
        <v>1</v>
      </c>
      <c r="K82" s="1324" t="e">
        <f t="shared" ca="1" si="0"/>
        <v>#NAME?</v>
      </c>
      <c r="L82" s="1325">
        <f ca="1">+IFERROR(VLOOKUP(I82,'Factores Emisión EDGE'!$K$267:$L$272,2,0),0)</f>
        <v>0</v>
      </c>
      <c r="M82" s="1325" t="e">
        <f t="shared" ca="1" si="1"/>
        <v>#NAME?</v>
      </c>
      <c r="N82" s="486" t="s">
        <v>3043</v>
      </c>
      <c r="O82" s="1312"/>
      <c r="P82" s="1312"/>
    </row>
    <row r="83" spans="1:16" ht="15.75" customHeight="1">
      <c r="A83" s="1314">
        <v>44938.909806365744</v>
      </c>
      <c r="B83" s="1310" t="s">
        <v>3165</v>
      </c>
      <c r="C83" s="1310" t="s">
        <v>3166</v>
      </c>
      <c r="D83" s="1310" t="s">
        <v>3107</v>
      </c>
      <c r="E83" s="1310" t="s">
        <v>3042</v>
      </c>
      <c r="F83" s="1310" t="s">
        <v>1952</v>
      </c>
      <c r="G83" s="1326">
        <v>30</v>
      </c>
      <c r="H83" s="486" t="e">
        <f t="array" aca="1" ref="H83" ca="1">+_xludf.IFS(E83="100% Presencial",1, E83="20% Teletrabajo (4 días a la semana)",0.8,E83="40% Teletrabajo (3 días a la semana)",0.6,E83="60% Teletrabajo (2 días a la semana)",0.4,E83="80% Teletrabajo (1 día a la semana)",0.2,E83="100% Teletrabajo",0)</f>
        <v>#NAME?</v>
      </c>
      <c r="I83" s="486" t="e">
        <f t="array" aca="1" ref="I83" ca="1">+_xludf.IFS(F83="Vehículo - Uso individual","Auto",F83="Vehículo - Uso compartido","Auto",F83="Transporte público/bus de acercamiento","Bus",F83="Moto","Moto",F83="Bicicleta o caminando","Bicicleta",F83="Ninguno, pues realicé 100% teletrabajo","No aplica",F83="Moto eléctrica","Moto eléctrica",F83="Vehículo eléctrico - Uso Individual","Vehículo eléctrico",F83="Vehículo eléctrico - Uso Compartido","Vehículo eléctrico")</f>
        <v>#NAME?</v>
      </c>
      <c r="J83" s="486">
        <v>1</v>
      </c>
      <c r="K83" s="1324" t="e">
        <f t="shared" ca="1" si="0"/>
        <v>#NAME?</v>
      </c>
      <c r="L83" s="1325">
        <f ca="1">+IFERROR(VLOOKUP(I83,'Factores Emisión EDGE'!$K$267:$L$272,2,0),0)</f>
        <v>0</v>
      </c>
      <c r="M83" s="1325" t="e">
        <f t="shared" ca="1" si="1"/>
        <v>#NAME?</v>
      </c>
      <c r="N83" s="486" t="s">
        <v>3056</v>
      </c>
      <c r="O83" s="1312"/>
      <c r="P83" s="1312"/>
    </row>
    <row r="84" spans="1:16" ht="15.75" customHeight="1">
      <c r="A84" s="1314">
        <v>44929.482664525465</v>
      </c>
      <c r="B84" s="1310" t="s">
        <v>3167</v>
      </c>
      <c r="C84" s="1310" t="s">
        <v>3168</v>
      </c>
      <c r="D84" s="1310" t="s">
        <v>3048</v>
      </c>
      <c r="E84" s="1310" t="s">
        <v>3066</v>
      </c>
      <c r="F84" s="1310" t="s">
        <v>3055</v>
      </c>
      <c r="G84" s="1326">
        <v>30</v>
      </c>
      <c r="H84" s="486" t="e">
        <f t="array" aca="1" ref="H84" ca="1">+_xludf.IFS(E84="100% Presencial",1, E84="20% Teletrabajo (4 días a la semana)",0.8,E84="40% Teletrabajo (3 días a la semana)",0.6,E84="60% Teletrabajo (2 días a la semana)",0.4,E84="80% Teletrabajo (1 día a la semana)",0.2,E84="100% Teletrabajo",0)</f>
        <v>#NAME?</v>
      </c>
      <c r="I84" s="486" t="e">
        <f t="array" aca="1" ref="I84" ca="1">+_xludf.IFS(F84="Vehículo - Uso individual","Auto",F84="Vehículo - Uso compartido","Auto",F84="Transporte público/bus de acercamiento","Bus",F84="Moto","Moto",F84="Bicicleta o caminando","Bicicleta",F84="Ninguno, pues realicé 100% teletrabajo","No aplica",F84="Moto eléctrica","Moto eléctrica",F84="Vehículo eléctrico - Uso Individual","Vehículo eléctrico",F84="Vehículo eléctrico - Uso Compartido","Vehículo eléctrico")</f>
        <v>#NAME?</v>
      </c>
      <c r="J84" s="486">
        <v>1</v>
      </c>
      <c r="K84" s="1324" t="e">
        <f t="shared" ca="1" si="0"/>
        <v>#NAME?</v>
      </c>
      <c r="L84" s="1325">
        <f ca="1">+IFERROR(VLOOKUP(I84,'Factores Emisión EDGE'!$K$267:$L$272,2,0),0)</f>
        <v>0</v>
      </c>
      <c r="M84" s="1325" t="e">
        <f t="shared" ca="1" si="1"/>
        <v>#NAME?</v>
      </c>
      <c r="N84" s="486" t="s">
        <v>3043</v>
      </c>
      <c r="O84" s="1312"/>
      <c r="P84" s="1312"/>
    </row>
    <row r="85" spans="1:16" ht="15.75" customHeight="1">
      <c r="A85" s="1314">
        <v>44929.488850682872</v>
      </c>
      <c r="B85" s="1310" t="s">
        <v>3169</v>
      </c>
      <c r="C85" s="1310" t="s">
        <v>3170</v>
      </c>
      <c r="D85" s="1310" t="s">
        <v>3048</v>
      </c>
      <c r="E85" s="1310" t="s">
        <v>883</v>
      </c>
      <c r="F85" s="1310" t="s">
        <v>1952</v>
      </c>
      <c r="G85" s="1326">
        <v>30</v>
      </c>
      <c r="H85" s="486" t="e">
        <f t="array" aca="1" ref="H85" ca="1">+_xludf.IFS(E85="100% Presencial",1, E85="20% Teletrabajo (4 días a la semana)",0.8,E85="40% Teletrabajo (3 días a la semana)",0.6,E85="60% Teletrabajo (2 días a la semana)",0.4,E85="80% Teletrabajo (1 día a la semana)",0.2,E85="100% Teletrabajo",0)</f>
        <v>#NAME?</v>
      </c>
      <c r="I85" s="486" t="e">
        <f t="array" aca="1" ref="I85" ca="1">+_xludf.IFS(F85="Vehículo - Uso individual","Auto",F85="Vehículo - Uso compartido","Auto",F85="Transporte público/bus de acercamiento","Bus",F85="Moto","Moto",F85="Bicicleta o caminando","Bicicleta",F85="Ninguno, pues realicé 100% teletrabajo","No aplica",F85="Moto eléctrica","Moto eléctrica",F85="Vehículo eléctrico - Uso Individual","Vehículo eléctrico",F85="Vehículo eléctrico - Uso Compartido","Vehículo eléctrico")</f>
        <v>#NAME?</v>
      </c>
      <c r="J85" s="486">
        <v>1</v>
      </c>
      <c r="K85" s="1324" t="e">
        <f t="shared" ca="1" si="0"/>
        <v>#NAME?</v>
      </c>
      <c r="L85" s="1325">
        <f ca="1">+IFERROR(VLOOKUP(I85,'Factores Emisión EDGE'!$K$267:$L$272,2,0),0)</f>
        <v>0</v>
      </c>
      <c r="M85" s="1325" t="e">
        <f t="shared" ca="1" si="1"/>
        <v>#NAME?</v>
      </c>
      <c r="N85" s="486" t="s">
        <v>3043</v>
      </c>
      <c r="O85" s="1312"/>
      <c r="P85" s="1312"/>
    </row>
    <row r="86" spans="1:16" ht="15.75" customHeight="1">
      <c r="A86" s="1314">
        <v>44929.492154664353</v>
      </c>
      <c r="B86" s="1310" t="s">
        <v>3171</v>
      </c>
      <c r="C86" s="1310" t="s">
        <v>2638</v>
      </c>
      <c r="D86" s="1310" t="s">
        <v>3048</v>
      </c>
      <c r="E86" s="1310" t="s">
        <v>3049</v>
      </c>
      <c r="F86" s="1310" t="s">
        <v>3055</v>
      </c>
      <c r="G86" s="1326">
        <v>30</v>
      </c>
      <c r="H86" s="486" t="e">
        <f t="array" aca="1" ref="H86" ca="1">+_xludf.IFS(E86="100% Presencial",1, E86="20% Teletrabajo (4 días a la semana)",0.8,E86="40% Teletrabajo (3 días a la semana)",0.6,E86="60% Teletrabajo (2 días a la semana)",0.4,E86="80% Teletrabajo (1 día a la semana)",0.2,E86="100% Teletrabajo",0)</f>
        <v>#NAME?</v>
      </c>
      <c r="I86" s="486" t="e">
        <f t="array" aca="1" ref="I86" ca="1">+_xludf.IFS(F86="Vehículo - Uso individual","Auto",F86="Vehículo - Uso compartido","Auto",F86="Transporte público/bus de acercamiento","Bus",F86="Moto","Moto",F86="Bicicleta o caminando","Bicicleta",F86="Ninguno, pues realicé 100% teletrabajo","No aplica",F86="Moto eléctrica","Moto eléctrica",F86="Vehículo eléctrico - Uso Individual","Vehículo eléctrico",F86="Vehículo eléctrico - Uso Compartido","Vehículo eléctrico")</f>
        <v>#NAME?</v>
      </c>
      <c r="J86" s="486">
        <v>1</v>
      </c>
      <c r="K86" s="1324" t="e">
        <f t="shared" ca="1" si="0"/>
        <v>#NAME?</v>
      </c>
      <c r="L86" s="1325">
        <f ca="1">+IFERROR(VLOOKUP(I86,'Factores Emisión EDGE'!$K$267:$L$272,2,0),0)</f>
        <v>0</v>
      </c>
      <c r="M86" s="1325" t="e">
        <f t="shared" ca="1" si="1"/>
        <v>#NAME?</v>
      </c>
      <c r="N86" s="486" t="s">
        <v>3043</v>
      </c>
      <c r="O86" s="1312"/>
      <c r="P86" s="1312"/>
    </row>
    <row r="87" spans="1:16" ht="15.75" customHeight="1">
      <c r="A87" s="1314">
        <v>44929.545059733791</v>
      </c>
      <c r="B87" s="1310" t="s">
        <v>3172</v>
      </c>
      <c r="C87" s="1310" t="s">
        <v>3101</v>
      </c>
      <c r="D87" s="1310" t="s">
        <v>3048</v>
      </c>
      <c r="E87" s="1310" t="s">
        <v>885</v>
      </c>
      <c r="F87" s="1310" t="s">
        <v>1952</v>
      </c>
      <c r="G87" s="1326">
        <v>30</v>
      </c>
      <c r="H87" s="486" t="e">
        <f t="array" aca="1" ref="H87" ca="1">+_xludf.IFS(E87="100% Presencial",1, E87="20% Teletrabajo (4 días a la semana)",0.8,E87="40% Teletrabajo (3 días a la semana)",0.6,E87="60% Teletrabajo (2 días a la semana)",0.4,E87="80% Teletrabajo (1 día a la semana)",0.2,E87="100% Teletrabajo",0)</f>
        <v>#NAME?</v>
      </c>
      <c r="I87" s="486" t="e">
        <f t="array" aca="1" ref="I87" ca="1">+_xludf.IFS(F87="Vehículo - Uso individual","Auto",F87="Vehículo - Uso compartido","Auto",F87="Transporte público/bus de acercamiento","Bus",F87="Moto","Moto",F87="Bicicleta o caminando","Bicicleta",F87="Ninguno, pues realicé 100% teletrabajo","No aplica",F87="Moto eléctrica","Moto eléctrica",F87="Vehículo eléctrico - Uso Individual","Vehículo eléctrico",F87="Vehículo eléctrico - Uso Compartido","Vehículo eléctrico")</f>
        <v>#NAME?</v>
      </c>
      <c r="J87" s="486">
        <v>1</v>
      </c>
      <c r="K87" s="1324" t="e">
        <f t="shared" ca="1" si="0"/>
        <v>#NAME?</v>
      </c>
      <c r="L87" s="1325">
        <f ca="1">+IFERROR(VLOOKUP(I87,'Factores Emisión EDGE'!$K$267:$L$272,2,0),0)</f>
        <v>0</v>
      </c>
      <c r="M87" s="1325" t="e">
        <f t="shared" ca="1" si="1"/>
        <v>#NAME?</v>
      </c>
      <c r="N87" s="486" t="s">
        <v>3043</v>
      </c>
      <c r="O87" s="1312"/>
      <c r="P87" s="1312"/>
    </row>
    <row r="88" spans="1:16" ht="15.75" customHeight="1">
      <c r="A88" s="1314">
        <v>44929.557103796295</v>
      </c>
      <c r="B88" s="1310" t="s">
        <v>3173</v>
      </c>
      <c r="C88" s="1310" t="s">
        <v>3174</v>
      </c>
      <c r="D88" s="1310" t="s">
        <v>3048</v>
      </c>
      <c r="E88" s="1310" t="s">
        <v>3042</v>
      </c>
      <c r="F88" s="1310" t="s">
        <v>1952</v>
      </c>
      <c r="G88" s="1326">
        <v>30</v>
      </c>
      <c r="H88" s="486" t="e">
        <f t="array" aca="1" ref="H88" ca="1">+_xludf.IFS(E88="100% Presencial",1, E88="20% Teletrabajo (4 días a la semana)",0.8,E88="40% Teletrabajo (3 días a la semana)",0.6,E88="60% Teletrabajo (2 días a la semana)",0.4,E88="80% Teletrabajo (1 día a la semana)",0.2,E88="100% Teletrabajo",0)</f>
        <v>#NAME?</v>
      </c>
      <c r="I88" s="486" t="e">
        <f t="array" aca="1" ref="I88" ca="1">+_xludf.IFS(F88="Vehículo - Uso individual","Auto",F88="Vehículo - Uso compartido","Auto",F88="Transporte público/bus de acercamiento","Bus",F88="Moto","Moto",F88="Bicicleta o caminando","Bicicleta",F88="Ninguno, pues realicé 100% teletrabajo","No aplica",F88="Moto eléctrica","Moto eléctrica",F88="Vehículo eléctrico - Uso Individual","Vehículo eléctrico",F88="Vehículo eléctrico - Uso Compartido","Vehículo eléctrico")</f>
        <v>#NAME?</v>
      </c>
      <c r="J88" s="486">
        <v>1</v>
      </c>
      <c r="K88" s="1324" t="e">
        <f t="shared" ca="1" si="0"/>
        <v>#NAME?</v>
      </c>
      <c r="L88" s="1325">
        <f ca="1">+IFERROR(VLOOKUP(I88,'Factores Emisión EDGE'!$K$267:$L$272,2,0),0)</f>
        <v>0</v>
      </c>
      <c r="M88" s="1325" t="e">
        <f t="shared" ca="1" si="1"/>
        <v>#NAME?</v>
      </c>
      <c r="N88" s="486" t="s">
        <v>3043</v>
      </c>
      <c r="O88" s="1312"/>
      <c r="P88" s="1312"/>
    </row>
    <row r="89" spans="1:16" ht="15.75" customHeight="1">
      <c r="A89" s="1314">
        <v>44929.68900755787</v>
      </c>
      <c r="B89" s="1310" t="s">
        <v>3175</v>
      </c>
      <c r="C89" s="1310" t="s">
        <v>3176</v>
      </c>
      <c r="D89" s="1310" t="s">
        <v>3048</v>
      </c>
      <c r="E89" s="1310" t="s">
        <v>3042</v>
      </c>
      <c r="F89" s="1310" t="s">
        <v>1952</v>
      </c>
      <c r="G89" s="1326">
        <v>30</v>
      </c>
      <c r="H89" s="486" t="e">
        <f t="array" aca="1" ref="H89" ca="1">+_xludf.IFS(E89="100% Presencial",1, E89="20% Teletrabajo (4 días a la semana)",0.8,E89="40% Teletrabajo (3 días a la semana)",0.6,E89="60% Teletrabajo (2 días a la semana)",0.4,E89="80% Teletrabajo (1 día a la semana)",0.2,E89="100% Teletrabajo",0)</f>
        <v>#NAME?</v>
      </c>
      <c r="I89" s="486" t="e">
        <f t="array" aca="1" ref="I89" ca="1">+_xludf.IFS(F89="Vehículo - Uso individual","Auto",F89="Vehículo - Uso compartido","Auto",F89="Transporte público/bus de acercamiento","Bus",F89="Moto","Moto",F89="Bicicleta o caminando","Bicicleta",F89="Ninguno, pues realicé 100% teletrabajo","No aplica",F89="Moto eléctrica","Moto eléctrica",F89="Vehículo eléctrico - Uso Individual","Vehículo eléctrico",F89="Vehículo eléctrico - Uso Compartido","Vehículo eléctrico")</f>
        <v>#NAME?</v>
      </c>
      <c r="J89" s="486">
        <v>1</v>
      </c>
      <c r="K89" s="1324" t="e">
        <f t="shared" ca="1" si="0"/>
        <v>#NAME?</v>
      </c>
      <c r="L89" s="1325">
        <f ca="1">+IFERROR(VLOOKUP(I89,'Factores Emisión EDGE'!$K$267:$L$272,2,0),0)</f>
        <v>0</v>
      </c>
      <c r="M89" s="1325" t="e">
        <f t="shared" ca="1" si="1"/>
        <v>#NAME?</v>
      </c>
      <c r="N89" s="486" t="s">
        <v>3043</v>
      </c>
      <c r="O89" s="1312"/>
      <c r="P89" s="1312"/>
    </row>
    <row r="90" spans="1:16" ht="15.75" customHeight="1">
      <c r="A90" s="1314">
        <v>44930.469135474537</v>
      </c>
      <c r="B90" s="1310" t="s">
        <v>3177</v>
      </c>
      <c r="C90" s="1310" t="s">
        <v>3178</v>
      </c>
      <c r="D90" s="1310" t="s">
        <v>3048</v>
      </c>
      <c r="E90" s="1310" t="s">
        <v>3042</v>
      </c>
      <c r="F90" s="1310" t="s">
        <v>3055</v>
      </c>
      <c r="G90" s="1326">
        <v>30</v>
      </c>
      <c r="H90" s="486" t="e">
        <f t="array" aca="1" ref="H90" ca="1">+_xludf.IFS(E90="100% Presencial",1, E90="20% Teletrabajo (4 días a la semana)",0.8,E90="40% Teletrabajo (3 días a la semana)",0.6,E90="60% Teletrabajo (2 días a la semana)",0.4,E90="80% Teletrabajo (1 día a la semana)",0.2,E90="100% Teletrabajo",0)</f>
        <v>#NAME?</v>
      </c>
      <c r="I90" s="486" t="e">
        <f t="array" aca="1" ref="I90" ca="1">+_xludf.IFS(F90="Vehículo - Uso individual","Auto",F90="Vehículo - Uso compartido","Auto",F90="Transporte público/bus de acercamiento","Bus",F90="Moto","Moto",F90="Bicicleta o caminando","Bicicleta",F90="Ninguno, pues realicé 100% teletrabajo","No aplica",F90="Moto eléctrica","Moto eléctrica",F90="Vehículo eléctrico - Uso Individual","Vehículo eléctrico",F90="Vehículo eléctrico - Uso Compartido","Vehículo eléctrico")</f>
        <v>#NAME?</v>
      </c>
      <c r="J90" s="486">
        <v>1</v>
      </c>
      <c r="K90" s="1324" t="e">
        <f t="shared" ca="1" si="0"/>
        <v>#NAME?</v>
      </c>
      <c r="L90" s="1325">
        <f ca="1">+IFERROR(VLOOKUP(I90,'Factores Emisión EDGE'!$K$267:$L$272,2,0),0)</f>
        <v>0</v>
      </c>
      <c r="M90" s="1325" t="e">
        <f t="shared" ca="1" si="1"/>
        <v>#NAME?</v>
      </c>
      <c r="N90" s="486" t="s">
        <v>3056</v>
      </c>
      <c r="O90" s="1312"/>
      <c r="P90" s="1312"/>
    </row>
    <row r="91" spans="1:16" ht="15.75" customHeight="1">
      <c r="A91" s="1314">
        <v>44930.469596782408</v>
      </c>
      <c r="B91" s="1310" t="s">
        <v>3179</v>
      </c>
      <c r="C91" s="1310" t="s">
        <v>3180</v>
      </c>
      <c r="D91" s="1310" t="s">
        <v>3140</v>
      </c>
      <c r="E91" s="1310" t="s">
        <v>3042</v>
      </c>
      <c r="F91" s="1310" t="s">
        <v>1952</v>
      </c>
      <c r="G91" s="1326">
        <v>30</v>
      </c>
      <c r="H91" s="486" t="e">
        <f t="array" aca="1" ref="H91" ca="1">+_xludf.IFS(E91="100% Presencial",1, E91="20% Teletrabajo (4 días a la semana)",0.8,E91="40% Teletrabajo (3 días a la semana)",0.6,E91="60% Teletrabajo (2 días a la semana)",0.4,E91="80% Teletrabajo (1 día a la semana)",0.2,E91="100% Teletrabajo",0)</f>
        <v>#NAME?</v>
      </c>
      <c r="I91" s="486" t="e">
        <f t="array" aca="1" ref="I91" ca="1">+_xludf.IFS(F91="Vehículo - Uso individual","Auto",F91="Vehículo - Uso compartido","Auto",F91="Transporte público/bus de acercamiento","Bus",F91="Moto","Moto",F91="Bicicleta o caminando","Bicicleta",F91="Ninguno, pues realicé 100% teletrabajo","No aplica",F91="Moto eléctrica","Moto eléctrica",F91="Vehículo eléctrico - Uso Individual","Vehículo eléctrico",F91="Vehículo eléctrico - Uso Compartido","Vehículo eléctrico")</f>
        <v>#NAME?</v>
      </c>
      <c r="J91" s="486">
        <v>1</v>
      </c>
      <c r="K91" s="1324" t="e">
        <f t="shared" ca="1" si="0"/>
        <v>#NAME?</v>
      </c>
      <c r="L91" s="1325">
        <f ca="1">+IFERROR(VLOOKUP(I91,'Factores Emisión EDGE'!$K$267:$L$272,2,0),0)</f>
        <v>0</v>
      </c>
      <c r="M91" s="1325" t="e">
        <f t="shared" ca="1" si="1"/>
        <v>#NAME?</v>
      </c>
      <c r="N91" s="486" t="s">
        <v>3056</v>
      </c>
      <c r="O91" s="1312"/>
      <c r="P91" s="1312"/>
    </row>
    <row r="92" spans="1:16" ht="15.75" customHeight="1">
      <c r="A92" s="1314">
        <v>44930.479942974533</v>
      </c>
      <c r="B92" s="1310" t="s">
        <v>3181</v>
      </c>
      <c r="C92" s="1310" t="s">
        <v>3182</v>
      </c>
      <c r="D92" s="1310" t="s">
        <v>3080</v>
      </c>
      <c r="E92" s="1310" t="s">
        <v>3042</v>
      </c>
      <c r="F92" s="1310" t="s">
        <v>1995</v>
      </c>
      <c r="G92" s="1326">
        <v>30</v>
      </c>
      <c r="H92" s="486" t="e">
        <f t="array" aca="1" ref="H92" ca="1">+_xludf.IFS(E92="100% Presencial",1, E92="20% Teletrabajo (4 días a la semana)",0.8,E92="40% Teletrabajo (3 días a la semana)",0.6,E92="60% Teletrabajo (2 días a la semana)",0.4,E92="80% Teletrabajo (1 día a la semana)",0.2,E92="100% Teletrabajo",0)</f>
        <v>#NAME?</v>
      </c>
      <c r="I92" s="486" t="e">
        <f t="array" aca="1" ref="I92" ca="1">+_xludf.IFS(F92="Vehículo - Uso individual","Auto",F92="Vehículo - Uso compartido","Auto",F92="Transporte público/bus de acercamiento","Bus",F92="Moto","Moto",F92="Bicicleta o caminando","Bicicleta",F92="Ninguno, pues realicé 100% teletrabajo","No aplica",F92="Moto eléctrica","Moto eléctrica",F92="Vehículo eléctrico - Uso Individual","Vehículo eléctrico",F92="Vehículo eléctrico - Uso Compartido","Vehículo eléctrico")</f>
        <v>#NAME?</v>
      </c>
      <c r="J92" s="486">
        <v>0.25</v>
      </c>
      <c r="K92" s="1324" t="e">
        <f t="shared" ca="1" si="0"/>
        <v>#NAME?</v>
      </c>
      <c r="L92" s="1325">
        <f ca="1">+IFERROR(VLOOKUP(I92,'Factores Emisión EDGE'!$K$267:$L$272,2,0),0)</f>
        <v>0</v>
      </c>
      <c r="M92" s="1325" t="e">
        <f t="shared" ca="1" si="1"/>
        <v>#NAME?</v>
      </c>
      <c r="N92" s="486" t="s">
        <v>3056</v>
      </c>
      <c r="O92" s="1312"/>
      <c r="P92" s="1312"/>
    </row>
    <row r="93" spans="1:16" ht="15.75" customHeight="1">
      <c r="A93" s="1314">
        <v>44939.388559155093</v>
      </c>
      <c r="B93" s="1310" t="s">
        <v>3183</v>
      </c>
      <c r="C93" s="1310" t="s">
        <v>3184</v>
      </c>
      <c r="D93" s="1310" t="s">
        <v>3048</v>
      </c>
      <c r="E93" s="1310" t="s">
        <v>3066</v>
      </c>
      <c r="F93" s="1310" t="s">
        <v>3055</v>
      </c>
      <c r="G93" s="1326">
        <v>30</v>
      </c>
      <c r="H93" s="486" t="e">
        <f t="array" aca="1" ref="H93" ca="1">+_xludf.IFS(E93="100% Presencial",1, E93="20% Teletrabajo (4 días a la semana)",0.8,E93="40% Teletrabajo (3 días a la semana)",0.6,E93="60% Teletrabajo (2 días a la semana)",0.4,E93="80% Teletrabajo (1 día a la semana)",0.2,E93="100% Teletrabajo",0)</f>
        <v>#NAME?</v>
      </c>
      <c r="I93" s="486" t="e">
        <f t="array" aca="1" ref="I93" ca="1">+_xludf.IFS(F93="Vehículo - Uso individual","Auto",F93="Vehículo - Uso compartido","Auto",F93="Transporte público/bus de acercamiento","Bus",F93="Moto","Moto",F93="Bicicleta o caminando","Bicicleta",F93="Ninguno, pues realicé 100% teletrabajo","No aplica",F93="Moto eléctrica","Moto eléctrica",F93="Vehículo eléctrico - Uso Individual","Vehículo eléctrico",F93="Vehículo eléctrico - Uso Compartido","Vehículo eléctrico")</f>
        <v>#NAME?</v>
      </c>
      <c r="J93" s="486">
        <v>1</v>
      </c>
      <c r="K93" s="1324" t="e">
        <f t="shared" ca="1" si="0"/>
        <v>#NAME?</v>
      </c>
      <c r="L93" s="1325">
        <f ca="1">+IFERROR(VLOOKUP(I93,'Factores Emisión EDGE'!$K$267:$L$272,2,0),0)</f>
        <v>0</v>
      </c>
      <c r="M93" s="1325" t="e">
        <f t="shared" ca="1" si="1"/>
        <v>#NAME?</v>
      </c>
      <c r="N93" s="486" t="s">
        <v>3043</v>
      </c>
      <c r="O93" s="1312"/>
      <c r="P93" s="1312"/>
    </row>
    <row r="94" spans="1:16" ht="15.75" customHeight="1">
      <c r="A94" s="1314">
        <v>44939.4939958912</v>
      </c>
      <c r="B94" s="1310" t="s">
        <v>3185</v>
      </c>
      <c r="C94" s="1310" t="s">
        <v>3186</v>
      </c>
      <c r="D94" s="1310" t="s">
        <v>3048</v>
      </c>
      <c r="E94" s="1310" t="s">
        <v>883</v>
      </c>
      <c r="F94" s="1310" t="s">
        <v>1952</v>
      </c>
      <c r="G94" s="1326">
        <v>30</v>
      </c>
      <c r="H94" s="486" t="e">
        <f t="array" aca="1" ref="H94" ca="1">+_xludf.IFS(E94="100% Presencial",1, E94="20% Teletrabajo (4 días a la semana)",0.8,E94="40% Teletrabajo (3 días a la semana)",0.6,E94="60% Teletrabajo (2 días a la semana)",0.4,E94="80% Teletrabajo (1 día a la semana)",0.2,E94="100% Teletrabajo",0)</f>
        <v>#NAME?</v>
      </c>
      <c r="I94" s="486" t="e">
        <f t="array" aca="1" ref="I94" ca="1">+_xludf.IFS(F94="Vehículo - Uso individual","Auto",F94="Vehículo - Uso compartido","Auto",F94="Transporte público/bus de acercamiento","Bus",F94="Moto","Moto",F94="Bicicleta o caminando","Bicicleta",F94="Ninguno, pues realicé 100% teletrabajo","No aplica",F94="Moto eléctrica","Moto eléctrica",F94="Vehículo eléctrico - Uso Individual","Vehículo eléctrico",F94="Vehículo eléctrico - Uso Compartido","Vehículo eléctrico")</f>
        <v>#NAME?</v>
      </c>
      <c r="J94" s="486">
        <v>1</v>
      </c>
      <c r="K94" s="1324" t="e">
        <f t="shared" ca="1" si="0"/>
        <v>#NAME?</v>
      </c>
      <c r="L94" s="1325">
        <f ca="1">+IFERROR(VLOOKUP(I94,'Factores Emisión EDGE'!$K$267:$L$272,2,0),0)</f>
        <v>0</v>
      </c>
      <c r="M94" s="1325" t="e">
        <f t="shared" ca="1" si="1"/>
        <v>#NAME?</v>
      </c>
      <c r="N94" s="486" t="s">
        <v>3043</v>
      </c>
      <c r="O94" s="1312"/>
      <c r="P94" s="1312"/>
    </row>
    <row r="95" spans="1:16" ht="15.75" customHeight="1">
      <c r="A95" s="1314">
        <v>44929.497547962965</v>
      </c>
      <c r="B95" s="1310" t="s">
        <v>3187</v>
      </c>
      <c r="C95" s="1310" t="s">
        <v>1994</v>
      </c>
      <c r="D95" s="1310" t="s">
        <v>3048</v>
      </c>
      <c r="E95" s="1310" t="s">
        <v>883</v>
      </c>
      <c r="F95" s="1310" t="s">
        <v>3055</v>
      </c>
      <c r="G95" s="1326">
        <v>29</v>
      </c>
      <c r="H95" s="486" t="e">
        <f t="array" aca="1" ref="H95" ca="1">+_xludf.IFS(E95="100% Presencial",1, E95="20% Teletrabajo (4 días a la semana)",0.8,E95="40% Teletrabajo (3 días a la semana)",0.6,E95="60% Teletrabajo (2 días a la semana)",0.4,E95="80% Teletrabajo (1 día a la semana)",0.2,E95="100% Teletrabajo",0)</f>
        <v>#NAME?</v>
      </c>
      <c r="I95" s="486" t="e">
        <f t="array" aca="1" ref="I95" ca="1">+_xludf.IFS(F95="Vehículo - Uso individual","Auto",F95="Vehículo - Uso compartido","Auto",F95="Transporte público/bus de acercamiento","Bus",F95="Moto","Moto",F95="Bicicleta o caminando","Bicicleta",F95="Ninguno, pues realicé 100% teletrabajo","No aplica",F95="Moto eléctrica","Moto eléctrica",F95="Vehículo eléctrico - Uso Individual","Vehículo eléctrico",F95="Vehículo eléctrico - Uso Compartido","Vehículo eléctrico")</f>
        <v>#NAME?</v>
      </c>
      <c r="J95" s="486">
        <v>1</v>
      </c>
      <c r="K95" s="1324" t="e">
        <f t="shared" ca="1" si="0"/>
        <v>#NAME?</v>
      </c>
      <c r="L95" s="1325">
        <f ca="1">+IFERROR(VLOOKUP(I95,'Factores Emisión EDGE'!$K$267:$L$272,2,0),0)</f>
        <v>0</v>
      </c>
      <c r="M95" s="1325" t="e">
        <f t="shared" ca="1" si="1"/>
        <v>#NAME?</v>
      </c>
      <c r="N95" s="486" t="s">
        <v>3043</v>
      </c>
      <c r="O95" s="1312"/>
      <c r="P95" s="1312"/>
    </row>
    <row r="96" spans="1:16" ht="15.75" customHeight="1">
      <c r="A96" s="1314">
        <v>44929.593267592594</v>
      </c>
      <c r="B96" s="1310" t="s">
        <v>3188</v>
      </c>
      <c r="C96" s="1310" t="s">
        <v>3189</v>
      </c>
      <c r="D96" s="1310" t="s">
        <v>3048</v>
      </c>
      <c r="E96" s="1310" t="s">
        <v>885</v>
      </c>
      <c r="F96" s="1310" t="s">
        <v>1952</v>
      </c>
      <c r="G96" s="1326">
        <v>28</v>
      </c>
      <c r="H96" s="486" t="e">
        <f t="array" aca="1" ref="H96" ca="1">+_xludf.IFS(E96="100% Presencial",1, E96="20% Teletrabajo (4 días a la semana)",0.8,E96="40% Teletrabajo (3 días a la semana)",0.6,E96="60% Teletrabajo (2 días a la semana)",0.4,E96="80% Teletrabajo (1 día a la semana)",0.2,E96="100% Teletrabajo",0)</f>
        <v>#NAME?</v>
      </c>
      <c r="I96" s="486" t="e">
        <f t="array" aca="1" ref="I96" ca="1">+_xludf.IFS(F96="Vehículo - Uso individual","Auto",F96="Vehículo - Uso compartido","Auto",F96="Transporte público/bus de acercamiento","Bus",F96="Moto","Moto",F96="Bicicleta o caminando","Bicicleta",F96="Ninguno, pues realicé 100% teletrabajo","No aplica",F96="Moto eléctrica","Moto eléctrica",F96="Vehículo eléctrico - Uso Individual","Vehículo eléctrico",F96="Vehículo eléctrico - Uso Compartido","Vehículo eléctrico")</f>
        <v>#NAME?</v>
      </c>
      <c r="J96" s="486">
        <v>1</v>
      </c>
      <c r="K96" s="1324" t="e">
        <f t="shared" ca="1" si="0"/>
        <v>#NAME?</v>
      </c>
      <c r="L96" s="1325">
        <f ca="1">+IFERROR(VLOOKUP(I96,'Factores Emisión EDGE'!$K$267:$L$272,2,0),0)</f>
        <v>0</v>
      </c>
      <c r="M96" s="1325" t="e">
        <f t="shared" ca="1" si="1"/>
        <v>#NAME?</v>
      </c>
      <c r="N96" s="486" t="s">
        <v>3043</v>
      </c>
      <c r="O96" s="1312"/>
      <c r="P96" s="1312"/>
    </row>
    <row r="97" spans="1:16" ht="15.75" customHeight="1">
      <c r="A97" s="1314">
        <v>44930.639266655096</v>
      </c>
      <c r="B97" s="1310" t="s">
        <v>3190</v>
      </c>
      <c r="C97" s="1310" t="s">
        <v>3191</v>
      </c>
      <c r="D97" s="1310" t="s">
        <v>3046</v>
      </c>
      <c r="E97" s="1310" t="s">
        <v>3042</v>
      </c>
      <c r="F97" s="1310" t="s">
        <v>3055</v>
      </c>
      <c r="G97" s="1326">
        <v>28</v>
      </c>
      <c r="H97" s="486" t="e">
        <f t="array" aca="1" ref="H97" ca="1">+_xludf.IFS(E97="100% Presencial",1, E97="20% Teletrabajo (4 días a la semana)",0.8,E97="40% Teletrabajo (3 días a la semana)",0.6,E97="60% Teletrabajo (2 días a la semana)",0.4,E97="80% Teletrabajo (1 día a la semana)",0.2,E97="100% Teletrabajo",0)</f>
        <v>#NAME?</v>
      </c>
      <c r="I97" s="486" t="e">
        <f t="array" aca="1" ref="I97" ca="1">+_xludf.IFS(F97="Vehículo - Uso individual","Auto",F97="Vehículo - Uso compartido","Auto",F97="Transporte público/bus de acercamiento","Bus",F97="Moto","Moto",F97="Bicicleta o caminando","Bicicleta",F97="Ninguno, pues realicé 100% teletrabajo","No aplica",F97="Moto eléctrica","Moto eléctrica",F97="Vehículo eléctrico - Uso Individual","Vehículo eléctrico",F97="Vehículo eléctrico - Uso Compartido","Vehículo eléctrico")</f>
        <v>#NAME?</v>
      </c>
      <c r="J97" s="486">
        <v>1</v>
      </c>
      <c r="K97" s="1324" t="e">
        <f t="shared" ca="1" si="0"/>
        <v>#NAME?</v>
      </c>
      <c r="L97" s="1325">
        <f ca="1">+IFERROR(VLOOKUP(I97,'Factores Emisión EDGE'!$K$267:$L$272,2,0),0)</f>
        <v>0</v>
      </c>
      <c r="M97" s="1325" t="e">
        <f t="shared" ca="1" si="1"/>
        <v>#NAME?</v>
      </c>
      <c r="N97" s="486" t="s">
        <v>3056</v>
      </c>
      <c r="O97" s="1312"/>
      <c r="P97" s="1312"/>
    </row>
    <row r="98" spans="1:16" ht="15.75" customHeight="1">
      <c r="A98" s="1314">
        <v>44939.380578541663</v>
      </c>
      <c r="B98" s="1310" t="s">
        <v>3192</v>
      </c>
      <c r="C98" s="1310" t="s">
        <v>3191</v>
      </c>
      <c r="D98" s="1310" t="s">
        <v>3046</v>
      </c>
      <c r="E98" s="1310" t="s">
        <v>3042</v>
      </c>
      <c r="F98" s="1310" t="s">
        <v>3055</v>
      </c>
      <c r="G98" s="1326">
        <v>28</v>
      </c>
      <c r="H98" s="486" t="e">
        <f t="array" aca="1" ref="H98" ca="1">+_xludf.IFS(E98="100% Presencial",1, E98="20% Teletrabajo (4 días a la semana)",0.8,E98="40% Teletrabajo (3 días a la semana)",0.6,E98="60% Teletrabajo (2 días a la semana)",0.4,E98="80% Teletrabajo (1 día a la semana)",0.2,E98="100% Teletrabajo",0)</f>
        <v>#NAME?</v>
      </c>
      <c r="I98" s="486" t="e">
        <f t="array" aca="1" ref="I98" ca="1">+_xludf.IFS(F98="Vehículo - Uso individual","Auto",F98="Vehículo - Uso compartido","Auto",F98="Transporte público/bus de acercamiento","Bus",F98="Moto","Moto",F98="Bicicleta o caminando","Bicicleta",F98="Ninguno, pues realicé 100% teletrabajo","No aplica",F98="Moto eléctrica","Moto eléctrica",F98="Vehículo eléctrico - Uso Individual","Vehículo eléctrico",F98="Vehículo eléctrico - Uso Compartido","Vehículo eléctrico")</f>
        <v>#NAME?</v>
      </c>
      <c r="J98" s="486">
        <v>1</v>
      </c>
      <c r="K98" s="1324" t="e">
        <f t="shared" ca="1" si="0"/>
        <v>#NAME?</v>
      </c>
      <c r="L98" s="1325">
        <f ca="1">+IFERROR(VLOOKUP(I98,'Factores Emisión EDGE'!$K$267:$L$272,2,0),0)</f>
        <v>0</v>
      </c>
      <c r="M98" s="1325" t="e">
        <f t="shared" ca="1" si="1"/>
        <v>#NAME?</v>
      </c>
      <c r="N98" s="486" t="s">
        <v>3056</v>
      </c>
      <c r="O98" s="1312"/>
      <c r="P98" s="1312"/>
    </row>
    <row r="99" spans="1:16" ht="15.75" customHeight="1">
      <c r="A99" s="1314">
        <v>44939.663628726848</v>
      </c>
      <c r="B99" s="1310" t="s">
        <v>3193</v>
      </c>
      <c r="C99" s="1310" t="s">
        <v>3194</v>
      </c>
      <c r="D99" s="1310" t="s">
        <v>3063</v>
      </c>
      <c r="E99" s="1310" t="s">
        <v>3042</v>
      </c>
      <c r="F99" s="1310" t="s">
        <v>1952</v>
      </c>
      <c r="G99" s="1326">
        <v>28</v>
      </c>
      <c r="H99" s="486" t="e">
        <f t="array" aca="1" ref="H99" ca="1">+_xludf.IFS(E99="100% Presencial",1, E99="20% Teletrabajo (4 días a la semana)",0.8,E99="40% Teletrabajo (3 días a la semana)",0.6,E99="60% Teletrabajo (2 días a la semana)",0.4,E99="80% Teletrabajo (1 día a la semana)",0.2,E99="100% Teletrabajo",0)</f>
        <v>#NAME?</v>
      </c>
      <c r="I99" s="486" t="e">
        <f t="array" aca="1" ref="I99" ca="1">+_xludf.IFS(F99="Vehículo - Uso individual","Auto",F99="Vehículo - Uso compartido","Auto",F99="Transporte público/bus de acercamiento","Bus",F99="Moto","Moto",F99="Bicicleta o caminando","Bicicleta",F99="Ninguno, pues realicé 100% teletrabajo","No aplica",F99="Moto eléctrica","Moto eléctrica",F99="Vehículo eléctrico - Uso Individual","Vehículo eléctrico",F99="Vehículo eléctrico - Uso Compartido","Vehículo eléctrico")</f>
        <v>#NAME?</v>
      </c>
      <c r="J99" s="486">
        <v>1</v>
      </c>
      <c r="K99" s="1324" t="e">
        <f t="shared" ca="1" si="0"/>
        <v>#NAME?</v>
      </c>
      <c r="L99" s="1325">
        <f ca="1">+IFERROR(VLOOKUP(I99,'Factores Emisión EDGE'!$K$267:$L$272,2,0),0)</f>
        <v>0</v>
      </c>
      <c r="M99" s="1325" t="e">
        <f t="shared" ca="1" si="1"/>
        <v>#NAME?</v>
      </c>
      <c r="N99" s="486" t="s">
        <v>3043</v>
      </c>
      <c r="O99" s="1312"/>
      <c r="P99" s="1312"/>
    </row>
    <row r="100" spans="1:16" ht="15.75" customHeight="1">
      <c r="A100" s="1314">
        <v>44930.430958449069</v>
      </c>
      <c r="B100" s="1310" t="s">
        <v>2753</v>
      </c>
      <c r="C100" s="1310" t="s">
        <v>2754</v>
      </c>
      <c r="D100" s="1310" t="s">
        <v>3048</v>
      </c>
      <c r="E100" s="1310" t="s">
        <v>3066</v>
      </c>
      <c r="F100" s="1310" t="s">
        <v>1952</v>
      </c>
      <c r="G100" s="1326">
        <v>27.6</v>
      </c>
      <c r="H100" s="486" t="e">
        <f t="array" aca="1" ref="H100" ca="1">+_xludf.IFS(E100="100% Presencial",1, E100="20% Teletrabajo (4 días a la semana)",0.8,E100="40% Teletrabajo (3 días a la semana)",0.6,E100="60% Teletrabajo (2 días a la semana)",0.4,E100="80% Teletrabajo (1 día a la semana)",0.2,E100="100% Teletrabajo",0)</f>
        <v>#NAME?</v>
      </c>
      <c r="I100" s="486" t="e">
        <f t="array" aca="1" ref="I100" ca="1">+_xludf.IFS(F100="Vehículo - Uso individual","Auto",F100="Vehículo - Uso compartido","Auto",F100="Transporte público/bus de acercamiento","Bus",F100="Moto","Moto",F100="Bicicleta o caminando","Bicicleta",F100="Ninguno, pues realicé 100% teletrabajo","No aplica",F100="Moto eléctrica","Moto eléctrica",F100="Vehículo eléctrico - Uso Individual","Vehículo eléctrico",F100="Vehículo eléctrico - Uso Compartido","Vehículo eléctrico")</f>
        <v>#NAME?</v>
      </c>
      <c r="J100" s="486">
        <v>1</v>
      </c>
      <c r="K100" s="1324" t="e">
        <f t="shared" ca="1" si="0"/>
        <v>#NAME?</v>
      </c>
      <c r="L100" s="1325">
        <f ca="1">+IFERROR(VLOOKUP(I100,'Factores Emisión EDGE'!$K$267:$L$272,2,0),0)</f>
        <v>0</v>
      </c>
      <c r="M100" s="1325" t="e">
        <f t="shared" ca="1" si="1"/>
        <v>#NAME?</v>
      </c>
      <c r="N100" s="486" t="s">
        <v>3043</v>
      </c>
      <c r="O100" s="1312"/>
      <c r="P100" s="1312"/>
    </row>
    <row r="101" spans="1:16" ht="15.75" customHeight="1">
      <c r="A101" s="1314">
        <v>44930.505610717591</v>
      </c>
      <c r="B101" s="1310" t="s">
        <v>3195</v>
      </c>
      <c r="C101" s="1310" t="s">
        <v>3196</v>
      </c>
      <c r="D101" s="1310" t="s">
        <v>3048</v>
      </c>
      <c r="E101" s="1310" t="s">
        <v>3042</v>
      </c>
      <c r="F101" s="1310" t="s">
        <v>3055</v>
      </c>
      <c r="G101" s="1326">
        <v>27.6</v>
      </c>
      <c r="H101" s="486" t="e">
        <f t="array" aca="1" ref="H101" ca="1">+_xludf.IFS(E101="100% Presencial",1, E101="20% Teletrabajo (4 días a la semana)",0.8,E101="40% Teletrabajo (3 días a la semana)",0.6,E101="60% Teletrabajo (2 días a la semana)",0.4,E101="80% Teletrabajo (1 día a la semana)",0.2,E101="100% Teletrabajo",0)</f>
        <v>#NAME?</v>
      </c>
      <c r="I101" s="486" t="e">
        <f t="array" aca="1" ref="I101" ca="1">+_xludf.IFS(F101="Vehículo - Uso individual","Auto",F101="Vehículo - Uso compartido","Auto",F101="Transporte público/bus de acercamiento","Bus",F101="Moto","Moto",F101="Bicicleta o caminando","Bicicleta",F101="Ninguno, pues realicé 100% teletrabajo","No aplica",F101="Moto eléctrica","Moto eléctrica",F101="Vehículo eléctrico - Uso Individual","Vehículo eléctrico",F101="Vehículo eléctrico - Uso Compartido","Vehículo eléctrico")</f>
        <v>#NAME?</v>
      </c>
      <c r="J101" s="486">
        <v>1</v>
      </c>
      <c r="K101" s="1324" t="e">
        <f t="shared" ca="1" si="0"/>
        <v>#NAME?</v>
      </c>
      <c r="L101" s="1325">
        <f ca="1">+IFERROR(VLOOKUP(I101,'Factores Emisión EDGE'!$K$267:$L$272,2,0),0)</f>
        <v>0</v>
      </c>
      <c r="M101" s="1325" t="e">
        <f t="shared" ca="1" si="1"/>
        <v>#NAME?</v>
      </c>
      <c r="N101" s="486" t="s">
        <v>3056</v>
      </c>
      <c r="O101" s="1312"/>
      <c r="P101" s="1312"/>
    </row>
    <row r="102" spans="1:16" ht="15.75" customHeight="1">
      <c r="A102" s="1314">
        <v>44929.506615740742</v>
      </c>
      <c r="B102" s="1310" t="s">
        <v>1998</v>
      </c>
      <c r="C102" s="1310" t="s">
        <v>1999</v>
      </c>
      <c r="D102" s="1310" t="s">
        <v>3048</v>
      </c>
      <c r="E102" s="1310" t="s">
        <v>883</v>
      </c>
      <c r="F102" s="1310" t="s">
        <v>3055</v>
      </c>
      <c r="G102" s="1326">
        <v>26.5</v>
      </c>
      <c r="H102" s="486" t="e">
        <f t="array" aca="1" ref="H102" ca="1">+_xludf.IFS(E102="100% Presencial",1, E102="20% Teletrabajo (4 días a la semana)",0.8,E102="40% Teletrabajo (3 días a la semana)",0.6,E102="60% Teletrabajo (2 días a la semana)",0.4,E102="80% Teletrabajo (1 día a la semana)",0.2,E102="100% Teletrabajo",0)</f>
        <v>#NAME?</v>
      </c>
      <c r="I102" s="486" t="e">
        <f t="array" aca="1" ref="I102" ca="1">+_xludf.IFS(F102="Vehículo - Uso individual","Auto",F102="Vehículo - Uso compartido","Auto",F102="Transporte público/bus de acercamiento","Bus",F102="Moto","Moto",F102="Bicicleta o caminando","Bicicleta",F102="Ninguno, pues realicé 100% teletrabajo","No aplica",F102="Moto eléctrica","Moto eléctrica",F102="Vehículo eléctrico - Uso Individual","Vehículo eléctrico",F102="Vehículo eléctrico - Uso Compartido","Vehículo eléctrico")</f>
        <v>#NAME?</v>
      </c>
      <c r="J102" s="486">
        <v>1</v>
      </c>
      <c r="K102" s="1324" t="e">
        <f t="shared" ca="1" si="0"/>
        <v>#NAME?</v>
      </c>
      <c r="L102" s="1325">
        <f ca="1">+IFERROR(VLOOKUP(I102,'Factores Emisión EDGE'!$K$267:$L$272,2,0),0)</f>
        <v>0</v>
      </c>
      <c r="M102" s="1325" t="e">
        <f t="shared" ca="1" si="1"/>
        <v>#NAME?</v>
      </c>
      <c r="N102" s="486" t="s">
        <v>3043</v>
      </c>
      <c r="O102" s="1312"/>
      <c r="P102" s="1312"/>
    </row>
    <row r="103" spans="1:16" ht="15.75" customHeight="1">
      <c r="A103" s="1314">
        <v>44939.417998217592</v>
      </c>
      <c r="B103" s="1310" t="s">
        <v>3197</v>
      </c>
      <c r="C103" s="1310" t="s">
        <v>2337</v>
      </c>
      <c r="D103" s="1310" t="s">
        <v>3063</v>
      </c>
      <c r="E103" s="1310" t="s">
        <v>3042</v>
      </c>
      <c r="F103" s="1310" t="s">
        <v>3055</v>
      </c>
      <c r="G103" s="1326">
        <v>26</v>
      </c>
      <c r="H103" s="486" t="e">
        <f t="array" aca="1" ref="H103" ca="1">+_xludf.IFS(E103="100% Presencial",1, E103="20% Teletrabajo (4 días a la semana)",0.8,E103="40% Teletrabajo (3 días a la semana)",0.6,E103="60% Teletrabajo (2 días a la semana)",0.4,E103="80% Teletrabajo (1 día a la semana)",0.2,E103="100% Teletrabajo",0)</f>
        <v>#NAME?</v>
      </c>
      <c r="I103" s="486" t="e">
        <f t="array" aca="1" ref="I103" ca="1">+_xludf.IFS(F103="Vehículo - Uso individual","Auto",F103="Vehículo - Uso compartido","Auto",F103="Transporte público/bus de acercamiento","Bus",F103="Moto","Moto",F103="Bicicleta o caminando","Bicicleta",F103="Ninguno, pues realicé 100% teletrabajo","No aplica",F103="Moto eléctrica","Moto eléctrica",F103="Vehículo eléctrico - Uso Individual","Vehículo eléctrico",F103="Vehículo eléctrico - Uso Compartido","Vehículo eléctrico")</f>
        <v>#NAME?</v>
      </c>
      <c r="J103" s="486">
        <v>1</v>
      </c>
      <c r="K103" s="1324" t="e">
        <f t="shared" ca="1" si="0"/>
        <v>#NAME?</v>
      </c>
      <c r="L103" s="1325">
        <f ca="1">+IFERROR(VLOOKUP(I103,'Factores Emisión EDGE'!$K$267:$L$272,2,0),0)</f>
        <v>0</v>
      </c>
      <c r="M103" s="1325" t="e">
        <f t="shared" ca="1" si="1"/>
        <v>#NAME?</v>
      </c>
      <c r="N103" s="486" t="s">
        <v>3043</v>
      </c>
      <c r="O103" s="1312"/>
      <c r="P103" s="1312"/>
    </row>
    <row r="104" spans="1:16" ht="15.75" customHeight="1">
      <c r="A104" s="1314">
        <v>44939.756602094909</v>
      </c>
      <c r="B104" s="1310" t="s">
        <v>3198</v>
      </c>
      <c r="C104" s="1310" t="s">
        <v>3199</v>
      </c>
      <c r="D104" s="1310" t="s">
        <v>3048</v>
      </c>
      <c r="E104" s="1310" t="s">
        <v>3066</v>
      </c>
      <c r="F104" s="1310" t="s">
        <v>863</v>
      </c>
      <c r="G104" s="1326">
        <v>26</v>
      </c>
      <c r="H104" s="486" t="e">
        <f t="array" aca="1" ref="H104" ca="1">+_xludf.IFS(E104="100% Presencial",1, E104="20% Teletrabajo (4 días a la semana)",0.8,E104="40% Teletrabajo (3 días a la semana)",0.6,E104="60% Teletrabajo (2 días a la semana)",0.4,E104="80% Teletrabajo (1 día a la semana)",0.2,E104="100% Teletrabajo",0)</f>
        <v>#NAME?</v>
      </c>
      <c r="I104" s="486" t="e">
        <f t="array" aca="1" ref="I104" ca="1">+_xludf.IFS(F104="Vehículo - Uso individual","Auto",F104="Vehículo - Uso compartido","Auto",F104="Transporte público/bus de acercamiento","Bus",F104="Moto","Moto",F104="Bicicleta o caminando","Bicicleta",F104="Ninguno, pues realicé 100% teletrabajo","No aplica",F104="Moto eléctrica","Moto eléctrica",F104="Vehículo eléctrico - Uso Individual","Vehículo eléctrico",F104="Vehículo eléctrico - Uso Compartido","Vehículo eléctrico")</f>
        <v>#NAME?</v>
      </c>
      <c r="J104" s="486">
        <v>1</v>
      </c>
      <c r="K104" s="1324" t="e">
        <f t="shared" ca="1" si="0"/>
        <v>#NAME?</v>
      </c>
      <c r="L104" s="1325">
        <f ca="1">+IFERROR(VLOOKUP(I104,'Factores Emisión EDGE'!$K$267:$L$272,2,0),0)</f>
        <v>0</v>
      </c>
      <c r="M104" s="1325" t="e">
        <f t="shared" ca="1" si="1"/>
        <v>#NAME?</v>
      </c>
      <c r="N104" s="486" t="s">
        <v>3043</v>
      </c>
      <c r="O104" s="1312"/>
      <c r="P104" s="1312"/>
    </row>
    <row r="105" spans="1:16" ht="15.75" customHeight="1">
      <c r="A105" s="1314">
        <v>44932.55223721065</v>
      </c>
      <c r="B105" s="1310" t="s">
        <v>3200</v>
      </c>
      <c r="C105" s="1310" t="s">
        <v>3201</v>
      </c>
      <c r="D105" s="1310" t="s">
        <v>3107</v>
      </c>
      <c r="E105" s="1310" t="s">
        <v>3042</v>
      </c>
      <c r="F105" s="1310" t="s">
        <v>1952</v>
      </c>
      <c r="G105" s="1326">
        <v>25</v>
      </c>
      <c r="H105" s="486" t="e">
        <f t="array" aca="1" ref="H105" ca="1">+_xludf.IFS(E105="100% Presencial",1, E105="20% Teletrabajo (4 días a la semana)",0.8,E105="40% Teletrabajo (3 días a la semana)",0.6,E105="60% Teletrabajo (2 días a la semana)",0.4,E105="80% Teletrabajo (1 día a la semana)",0.2,E105="100% Teletrabajo",0)</f>
        <v>#NAME?</v>
      </c>
      <c r="I105" s="486" t="e">
        <f t="array" aca="1" ref="I105" ca="1">+_xludf.IFS(F105="Vehículo - Uso individual","Auto",F105="Vehículo - Uso compartido","Auto",F105="Transporte público/bus de acercamiento","Bus",F105="Moto","Moto",F105="Bicicleta o caminando","Bicicleta",F105="Ninguno, pues realicé 100% teletrabajo","No aplica",F105="Moto eléctrica","Moto eléctrica",F105="Vehículo eléctrico - Uso Individual","Vehículo eléctrico",F105="Vehículo eléctrico - Uso Compartido","Vehículo eléctrico")</f>
        <v>#NAME?</v>
      </c>
      <c r="J105" s="486">
        <v>1</v>
      </c>
      <c r="K105" s="1324" t="e">
        <f t="shared" ca="1" si="0"/>
        <v>#NAME?</v>
      </c>
      <c r="L105" s="1325">
        <f ca="1">+IFERROR(VLOOKUP(I105,'Factores Emisión EDGE'!$K$267:$L$272,2,0),0)</f>
        <v>0</v>
      </c>
      <c r="M105" s="1325" t="e">
        <f t="shared" ca="1" si="1"/>
        <v>#NAME?</v>
      </c>
      <c r="N105" s="486" t="s">
        <v>3056</v>
      </c>
      <c r="O105" s="1312"/>
      <c r="P105" s="1312"/>
    </row>
    <row r="106" spans="1:16" ht="15.75" customHeight="1">
      <c r="A106" s="1318">
        <v>44929.482669143516</v>
      </c>
      <c r="B106" s="1319" t="s">
        <v>2308</v>
      </c>
      <c r="C106" s="1319" t="s">
        <v>2309</v>
      </c>
      <c r="D106" s="1319" t="s">
        <v>3048</v>
      </c>
      <c r="E106" s="1319" t="s">
        <v>3042</v>
      </c>
      <c r="F106" s="1319" t="s">
        <v>3202</v>
      </c>
      <c r="G106" s="1323">
        <v>25</v>
      </c>
      <c r="H106" s="13" t="e">
        <f t="array" aca="1" ref="H106" ca="1">+_xludf.IFS(E106="100% Presencial",1, E106="20% Teletrabajo (4 días a la semana)",0.8,E106="40% Teletrabajo (3 días a la semana)",0.6,E106="60% Teletrabajo (2 días a la semana)",0.4,E106="80% Teletrabajo (1 día a la semana)",0.2,E106="100% Teletrabajo",0)</f>
        <v>#NAME?</v>
      </c>
      <c r="I106" s="13" t="e">
        <f t="array" aca="1" ref="I106" ca="1">+_xludf.IFS(F106="Vehículo - Uso individual","Auto",F106="Vehículo - Uso compartido","Auto",F106="Transporte público/bus de acercamiento","Bus",F106="Moto","Moto",F106="Bicicleta o caminando","Bicicleta",F106="Ninguno, pues realicé 100% teletrabajo","No aplica",F106="Moto eléctrica","Moto eléctrica",F106="Vehículo eléctrico - Uso Individual","Vehículo eléctrico",F106="Vehículo eléctrico - Uso Compartido","Vehículo eléctrico")</f>
        <v>#NAME?</v>
      </c>
      <c r="J106" s="486">
        <v>1</v>
      </c>
      <c r="K106" s="1324" t="e">
        <f t="shared" ca="1" si="0"/>
        <v>#NAME?</v>
      </c>
      <c r="L106" s="1325">
        <f ca="1">+IFERROR(VLOOKUP(I106,'Factores Emisión EDGE'!$K$267:$L$272,2,0),0)</f>
        <v>0</v>
      </c>
      <c r="M106" s="1325" t="e">
        <f t="shared" ca="1" si="1"/>
        <v>#NAME?</v>
      </c>
      <c r="N106" s="13" t="s">
        <v>3043</v>
      </c>
      <c r="O106" s="1312"/>
      <c r="P106" s="1312"/>
    </row>
    <row r="107" spans="1:16" ht="15.75" customHeight="1">
      <c r="A107" s="1314">
        <v>44929.521821655093</v>
      </c>
      <c r="B107" s="1310" t="s">
        <v>2156</v>
      </c>
      <c r="C107" s="1310" t="s">
        <v>2157</v>
      </c>
      <c r="D107" s="1310" t="s">
        <v>3048</v>
      </c>
      <c r="E107" s="1310" t="s">
        <v>3049</v>
      </c>
      <c r="F107" s="1310" t="s">
        <v>3050</v>
      </c>
      <c r="G107" s="1326">
        <v>30</v>
      </c>
      <c r="H107" s="486" t="e">
        <f t="array" aca="1" ref="H107" ca="1">+_xludf.IFS(E107="100% Presencial",1, E107="20% Teletrabajo (4 días a la semana)",0.8,E107="40% Teletrabajo (3 días a la semana)",0.6,E107="60% Teletrabajo (2 días a la semana)",0.4,E107="80% Teletrabajo (1 día a la semana)",0.2,E107="100% Teletrabajo",0)</f>
        <v>#NAME?</v>
      </c>
      <c r="I107" s="486" t="e">
        <f t="array" aca="1" ref="I107" ca="1">+_xludf.IFS(F107="Vehículo - Uso individual","Auto",F107="Vehículo - Uso compartido","Auto",F107="Transporte público/bus de acercamiento","Bus",F107="Moto","Moto",F107="Bicicleta o caminando","Bicicleta",F107="Ninguno, pues realicé 100% teletrabajo","No aplica",F107="Moto eléctrica","Moto eléctrica",F107="Vehículo eléctrico - Uso Individual","Vehículo eléctrico",F107="Vehículo eléctrico - Uso Compartido","Vehículo eléctrico")</f>
        <v>#NAME?</v>
      </c>
      <c r="J107" s="486">
        <v>1</v>
      </c>
      <c r="K107" s="1324" t="e">
        <f t="shared" ca="1" si="0"/>
        <v>#NAME?</v>
      </c>
      <c r="L107" s="1325">
        <f ca="1">+IFERROR(VLOOKUP(I107,'Factores Emisión EDGE'!$K$267:$L$272,2,0),0)</f>
        <v>0</v>
      </c>
      <c r="M107" s="1325" t="e">
        <f t="shared" ca="1" si="1"/>
        <v>#NAME?</v>
      </c>
      <c r="N107" s="486" t="s">
        <v>3043</v>
      </c>
      <c r="O107" s="1312"/>
      <c r="P107" s="1312"/>
    </row>
    <row r="108" spans="1:16" ht="15.75" customHeight="1">
      <c r="A108" s="1314">
        <v>44929.634466631949</v>
      </c>
      <c r="B108" s="1310" t="s">
        <v>2785</v>
      </c>
      <c r="C108" s="1310" t="s">
        <v>2786</v>
      </c>
      <c r="D108" s="1310" t="s">
        <v>3048</v>
      </c>
      <c r="E108" s="1310" t="s">
        <v>3066</v>
      </c>
      <c r="F108" s="1310" t="s">
        <v>1952</v>
      </c>
      <c r="G108" s="1326">
        <v>25</v>
      </c>
      <c r="H108" s="486" t="e">
        <f t="array" aca="1" ref="H108" ca="1">+_xludf.IFS(E108="100% Presencial",1, E108="20% Teletrabajo (4 días a la semana)",0.8,E108="40% Teletrabajo (3 días a la semana)",0.6,E108="60% Teletrabajo (2 días a la semana)",0.4,E108="80% Teletrabajo (1 día a la semana)",0.2,E108="100% Teletrabajo",0)</f>
        <v>#NAME?</v>
      </c>
      <c r="I108" s="486" t="e">
        <f t="array" aca="1" ref="I108" ca="1">+_xludf.IFS(F108="Vehículo - Uso individual","Auto",F108="Vehículo - Uso compartido","Auto",F108="Transporte público/bus de acercamiento","Bus",F108="Moto","Moto",F108="Bicicleta o caminando","Bicicleta",F108="Ninguno, pues realicé 100% teletrabajo","No aplica",F108="Moto eléctrica","Moto eléctrica",F108="Vehículo eléctrico - Uso Individual","Vehículo eléctrico",F108="Vehículo eléctrico - Uso Compartido","Vehículo eléctrico")</f>
        <v>#NAME?</v>
      </c>
      <c r="J108" s="486">
        <v>1</v>
      </c>
      <c r="K108" s="1324" t="e">
        <f t="shared" ca="1" si="0"/>
        <v>#NAME?</v>
      </c>
      <c r="L108" s="1325">
        <f ca="1">+IFERROR(VLOOKUP(I108,'Factores Emisión EDGE'!$K$267:$L$272,2,0),0)</f>
        <v>0</v>
      </c>
      <c r="M108" s="1325" t="e">
        <f t="shared" ca="1" si="1"/>
        <v>#NAME?</v>
      </c>
      <c r="N108" s="486" t="s">
        <v>3043</v>
      </c>
      <c r="O108" s="1312"/>
      <c r="P108" s="1312"/>
    </row>
    <row r="109" spans="1:16" ht="15.75" customHeight="1">
      <c r="A109" s="1314">
        <v>44930.462655312498</v>
      </c>
      <c r="B109" s="1310" t="s">
        <v>3203</v>
      </c>
      <c r="C109" s="1310" t="s">
        <v>2098</v>
      </c>
      <c r="D109" s="1310" t="s">
        <v>3048</v>
      </c>
      <c r="E109" s="1310" t="s">
        <v>885</v>
      </c>
      <c r="F109" s="1310" t="s">
        <v>3055</v>
      </c>
      <c r="G109" s="1326">
        <v>25</v>
      </c>
      <c r="H109" s="486" t="e">
        <f t="array" aca="1" ref="H109" ca="1">+_xludf.IFS(E109="100% Presencial",1, E109="20% Teletrabajo (4 días a la semana)",0.8,E109="40% Teletrabajo (3 días a la semana)",0.6,E109="60% Teletrabajo (2 días a la semana)",0.4,E109="80% Teletrabajo (1 día a la semana)",0.2,E109="100% Teletrabajo",0)</f>
        <v>#NAME?</v>
      </c>
      <c r="I109" s="486" t="e">
        <f t="array" aca="1" ref="I109" ca="1">+_xludf.IFS(F109="Vehículo - Uso individual","Auto",F109="Vehículo - Uso compartido","Auto",F109="Transporte público/bus de acercamiento","Bus",F109="Moto","Moto",F109="Bicicleta o caminando","Bicicleta",F109="Ninguno, pues realicé 100% teletrabajo","No aplica",F109="Moto eléctrica","Moto eléctrica",F109="Vehículo eléctrico - Uso Individual","Vehículo eléctrico",F109="Vehículo eléctrico - Uso Compartido","Vehículo eléctrico")</f>
        <v>#NAME?</v>
      </c>
      <c r="J109" s="486">
        <v>1</v>
      </c>
      <c r="K109" s="1324" t="e">
        <f t="shared" ca="1" si="0"/>
        <v>#NAME?</v>
      </c>
      <c r="L109" s="1325">
        <f ca="1">+IFERROR(VLOOKUP(I109,'Factores Emisión EDGE'!$K$267:$L$272,2,0),0)</f>
        <v>0</v>
      </c>
      <c r="M109" s="1325" t="e">
        <f t="shared" ca="1" si="1"/>
        <v>#NAME?</v>
      </c>
      <c r="N109" s="486" t="s">
        <v>3043</v>
      </c>
      <c r="O109" s="1312"/>
      <c r="P109" s="1312"/>
    </row>
    <row r="110" spans="1:16" ht="15.75" customHeight="1">
      <c r="A110" s="1314">
        <v>44930.521691099537</v>
      </c>
      <c r="B110" s="1310" t="s">
        <v>3204</v>
      </c>
      <c r="C110" s="1310" t="s">
        <v>3205</v>
      </c>
      <c r="D110" s="1310" t="s">
        <v>3063</v>
      </c>
      <c r="E110" s="1310" t="s">
        <v>3042</v>
      </c>
      <c r="F110" s="1310" t="s">
        <v>3055</v>
      </c>
      <c r="G110" s="1326">
        <v>25</v>
      </c>
      <c r="H110" s="486" t="e">
        <f t="array" aca="1" ref="H110" ca="1">+_xludf.IFS(E110="100% Presencial",1, E110="20% Teletrabajo (4 días a la semana)",0.8,E110="40% Teletrabajo (3 días a la semana)",0.6,E110="60% Teletrabajo (2 días a la semana)",0.4,E110="80% Teletrabajo (1 día a la semana)",0.2,E110="100% Teletrabajo",0)</f>
        <v>#NAME?</v>
      </c>
      <c r="I110" s="486" t="e">
        <f t="array" aca="1" ref="I110" ca="1">+_xludf.IFS(F110="Vehículo - Uso individual","Auto",F110="Vehículo - Uso compartido","Auto",F110="Transporte público/bus de acercamiento","Bus",F110="Moto","Moto",F110="Bicicleta o caminando","Bicicleta",F110="Ninguno, pues realicé 100% teletrabajo","No aplica",F110="Moto eléctrica","Moto eléctrica",F110="Vehículo eléctrico - Uso Individual","Vehículo eléctrico",F110="Vehículo eléctrico - Uso Compartido","Vehículo eléctrico")</f>
        <v>#NAME?</v>
      </c>
      <c r="J110" s="486">
        <v>1</v>
      </c>
      <c r="K110" s="1324" t="e">
        <f t="shared" ca="1" si="0"/>
        <v>#NAME?</v>
      </c>
      <c r="L110" s="1325">
        <f ca="1">+IFERROR(VLOOKUP(I110,'Factores Emisión EDGE'!$K$267:$L$272,2,0),0)</f>
        <v>0</v>
      </c>
      <c r="M110" s="1325" t="e">
        <f t="shared" ca="1" si="1"/>
        <v>#NAME?</v>
      </c>
      <c r="N110" s="486" t="s">
        <v>3056</v>
      </c>
      <c r="O110" s="1312"/>
      <c r="P110" s="1312"/>
    </row>
    <row r="111" spans="1:16" ht="15.75" customHeight="1">
      <c r="A111" s="1314">
        <v>44939.387653622689</v>
      </c>
      <c r="B111" s="1310" t="s">
        <v>3206</v>
      </c>
      <c r="C111" s="1310" t="s">
        <v>3207</v>
      </c>
      <c r="D111" s="1310" t="s">
        <v>3048</v>
      </c>
      <c r="E111" s="1310" t="s">
        <v>3049</v>
      </c>
      <c r="F111" s="1310" t="s">
        <v>3050</v>
      </c>
      <c r="G111" s="1326">
        <v>30</v>
      </c>
      <c r="H111" s="486" t="e">
        <f t="array" aca="1" ref="H111" ca="1">+_xludf.IFS(E111="100% Presencial",1, E111="20% Teletrabajo (4 días a la semana)",0.8,E111="40% Teletrabajo (3 días a la semana)",0.6,E111="60% Teletrabajo (2 días a la semana)",0.4,E111="80% Teletrabajo (1 día a la semana)",0.2,E111="100% Teletrabajo",0)</f>
        <v>#NAME?</v>
      </c>
      <c r="I111" s="486" t="e">
        <f t="array" aca="1" ref="I111" ca="1">+_xludf.IFS(F111="Vehículo - Uso individual","Auto",F111="Vehículo - Uso compartido","Auto",F111="Transporte público/bus de acercamiento","Bus",F111="Moto","Moto",F111="Bicicleta o caminando","Bicicleta",F111="Ninguno, pues realicé 100% teletrabajo","No aplica",F111="Moto eléctrica","Moto eléctrica",F111="Vehículo eléctrico - Uso Individual","Vehículo eléctrico",F111="Vehículo eléctrico - Uso Compartido","Vehículo eléctrico")</f>
        <v>#NAME?</v>
      </c>
      <c r="J111" s="486">
        <v>1</v>
      </c>
      <c r="K111" s="1324" t="e">
        <f t="shared" ca="1" si="0"/>
        <v>#NAME?</v>
      </c>
      <c r="L111" s="1325">
        <f ca="1">+IFERROR(VLOOKUP(I111,'Factores Emisión EDGE'!$K$267:$L$272,2,0),0)</f>
        <v>0</v>
      </c>
      <c r="M111" s="1325" t="e">
        <f t="shared" ca="1" si="1"/>
        <v>#NAME?</v>
      </c>
      <c r="N111" s="486" t="s">
        <v>3043</v>
      </c>
      <c r="O111" s="1312"/>
      <c r="P111" s="1312"/>
    </row>
    <row r="112" spans="1:16" ht="15.75" customHeight="1">
      <c r="A112" s="1314">
        <v>44939.694682337962</v>
      </c>
      <c r="B112" s="1310" t="s">
        <v>3208</v>
      </c>
      <c r="C112" s="1310" t="s">
        <v>3209</v>
      </c>
      <c r="D112" s="1310" t="s">
        <v>3133</v>
      </c>
      <c r="E112" s="1310" t="s">
        <v>3042</v>
      </c>
      <c r="F112" s="1310" t="s">
        <v>1952</v>
      </c>
      <c r="G112" s="1326">
        <v>25</v>
      </c>
      <c r="H112" s="486" t="e">
        <f t="array" aca="1" ref="H112" ca="1">+_xludf.IFS(E112="100% Presencial",1, E112="20% Teletrabajo (4 días a la semana)",0.8,E112="40% Teletrabajo (3 días a la semana)",0.6,E112="60% Teletrabajo (2 días a la semana)",0.4,E112="80% Teletrabajo (1 día a la semana)",0.2,E112="100% Teletrabajo",0)</f>
        <v>#NAME?</v>
      </c>
      <c r="I112" s="486" t="e">
        <f t="array" aca="1" ref="I112" ca="1">+_xludf.IFS(F112="Vehículo - Uso individual","Auto",F112="Vehículo - Uso compartido","Auto",F112="Transporte público/bus de acercamiento","Bus",F112="Moto","Moto",F112="Bicicleta o caminando","Bicicleta",F112="Ninguno, pues realicé 100% teletrabajo","No aplica",F112="Moto eléctrica","Moto eléctrica",F112="Vehículo eléctrico - Uso Individual","Vehículo eléctrico",F112="Vehículo eléctrico - Uso Compartido","Vehículo eléctrico")</f>
        <v>#NAME?</v>
      </c>
      <c r="J112" s="486">
        <v>1</v>
      </c>
      <c r="K112" s="1324" t="e">
        <f t="shared" ca="1" si="0"/>
        <v>#NAME?</v>
      </c>
      <c r="L112" s="1325">
        <f ca="1">+IFERROR(VLOOKUP(I112,'Factores Emisión EDGE'!$K$267:$L$272,2,0),0)</f>
        <v>0</v>
      </c>
      <c r="M112" s="1325" t="e">
        <f t="shared" ca="1" si="1"/>
        <v>#NAME?</v>
      </c>
      <c r="N112" s="486" t="s">
        <v>3043</v>
      </c>
      <c r="O112" s="1312"/>
      <c r="P112" s="1312"/>
    </row>
    <row r="113" spans="1:16" ht="15.75" customHeight="1">
      <c r="A113" s="1314">
        <v>44929.485614548612</v>
      </c>
      <c r="B113" s="1310" t="s">
        <v>3210</v>
      </c>
      <c r="C113" s="1310" t="s">
        <v>3211</v>
      </c>
      <c r="D113" s="1310" t="s">
        <v>3048</v>
      </c>
      <c r="E113" s="1310" t="s">
        <v>883</v>
      </c>
      <c r="F113" s="1310" t="s">
        <v>1995</v>
      </c>
      <c r="G113" s="1326">
        <v>25</v>
      </c>
      <c r="H113" s="486" t="e">
        <f t="array" aca="1" ref="H113" ca="1">+_xludf.IFS(E113="100% Presencial",1, E113="20% Teletrabajo (4 días a la semana)",0.8,E113="40% Teletrabajo (3 días a la semana)",0.6,E113="60% Teletrabajo (2 días a la semana)",0.4,E113="80% Teletrabajo (1 día a la semana)",0.2,E113="100% Teletrabajo",0)</f>
        <v>#NAME?</v>
      </c>
      <c r="I113" s="486" t="e">
        <f t="array" aca="1" ref="I113" ca="1">+_xludf.IFS(F113="Vehículo - Uso individual","Auto",F113="Vehículo - Uso compartido","Auto",F113="Transporte público/bus de acercamiento","Bus",F113="Moto","Moto",F113="Bicicleta o caminando","Bicicleta",F113="Ninguno, pues realicé 100% teletrabajo","No aplica",F113="Moto eléctrica","Moto eléctrica",F113="Vehículo eléctrico - Uso Individual","Vehículo eléctrico",F113="Vehículo eléctrico - Uso Compartido","Vehículo eléctrico")</f>
        <v>#NAME?</v>
      </c>
      <c r="J113" s="486">
        <v>0.25</v>
      </c>
      <c r="K113" s="1324" t="e">
        <f t="shared" ca="1" si="0"/>
        <v>#NAME?</v>
      </c>
      <c r="L113" s="1325">
        <f ca="1">+IFERROR(VLOOKUP(I113,'Factores Emisión EDGE'!$K$267:$L$272,2,0),0)</f>
        <v>0</v>
      </c>
      <c r="M113" s="1325" t="e">
        <f t="shared" ca="1" si="1"/>
        <v>#NAME?</v>
      </c>
      <c r="N113" s="486" t="s">
        <v>3043</v>
      </c>
      <c r="O113" s="1312"/>
      <c r="P113" s="1312"/>
    </row>
    <row r="114" spans="1:16" ht="15.75" customHeight="1">
      <c r="A114" s="1314">
        <v>44929.504782766206</v>
      </c>
      <c r="B114" s="1310" t="s">
        <v>3212</v>
      </c>
      <c r="C114" s="1310" t="s">
        <v>2088</v>
      </c>
      <c r="D114" s="1310" t="s">
        <v>3048</v>
      </c>
      <c r="E114" s="1310" t="s">
        <v>885</v>
      </c>
      <c r="F114" s="1310" t="s">
        <v>1952</v>
      </c>
      <c r="G114" s="1326">
        <v>25</v>
      </c>
      <c r="H114" s="486" t="e">
        <f t="array" aca="1" ref="H114" ca="1">+_xludf.IFS(E114="100% Presencial",1, E114="20% Teletrabajo (4 días a la semana)",0.8,E114="40% Teletrabajo (3 días a la semana)",0.6,E114="60% Teletrabajo (2 días a la semana)",0.4,E114="80% Teletrabajo (1 día a la semana)",0.2,E114="100% Teletrabajo",0)</f>
        <v>#NAME?</v>
      </c>
      <c r="I114" s="486" t="e">
        <f t="array" aca="1" ref="I114" ca="1">+_xludf.IFS(F114="Vehículo - Uso individual","Auto",F114="Vehículo - Uso compartido","Auto",F114="Transporte público/bus de acercamiento","Bus",F114="Moto","Moto",F114="Bicicleta o caminando","Bicicleta",F114="Ninguno, pues realicé 100% teletrabajo","No aplica",F114="Moto eléctrica","Moto eléctrica",F114="Vehículo eléctrico - Uso Individual","Vehículo eléctrico",F114="Vehículo eléctrico - Uso Compartido","Vehículo eléctrico")</f>
        <v>#NAME?</v>
      </c>
      <c r="J114" s="486">
        <v>1</v>
      </c>
      <c r="K114" s="1324" t="e">
        <f t="shared" ca="1" si="0"/>
        <v>#NAME?</v>
      </c>
      <c r="L114" s="1325">
        <f ca="1">+IFERROR(VLOOKUP(I114,'Factores Emisión EDGE'!$K$267:$L$272,2,0),0)</f>
        <v>0</v>
      </c>
      <c r="M114" s="1325" t="e">
        <f t="shared" ca="1" si="1"/>
        <v>#NAME?</v>
      </c>
      <c r="N114" s="486" t="s">
        <v>3043</v>
      </c>
      <c r="O114" s="1312"/>
      <c r="P114" s="1312"/>
    </row>
    <row r="115" spans="1:16" ht="15.75" customHeight="1">
      <c r="A115" s="1314">
        <v>44929.509419363429</v>
      </c>
      <c r="B115" s="1310" t="s">
        <v>2069</v>
      </c>
      <c r="C115" s="1310" t="s">
        <v>2070</v>
      </c>
      <c r="D115" s="1310" t="s">
        <v>3048</v>
      </c>
      <c r="E115" s="1310" t="s">
        <v>885</v>
      </c>
      <c r="F115" s="1310" t="s">
        <v>3055</v>
      </c>
      <c r="G115" s="1326">
        <v>25</v>
      </c>
      <c r="H115" s="486" t="e">
        <f t="array" aca="1" ref="H115" ca="1">+_xludf.IFS(E115="100% Presencial",1, E115="20% Teletrabajo (4 días a la semana)",0.8,E115="40% Teletrabajo (3 días a la semana)",0.6,E115="60% Teletrabajo (2 días a la semana)",0.4,E115="80% Teletrabajo (1 día a la semana)",0.2,E115="100% Teletrabajo",0)</f>
        <v>#NAME?</v>
      </c>
      <c r="I115" s="486" t="e">
        <f t="array" aca="1" ref="I115" ca="1">+_xludf.IFS(F115="Vehículo - Uso individual","Auto",F115="Vehículo - Uso compartido","Auto",F115="Transporte público/bus de acercamiento","Bus",F115="Moto","Moto",F115="Bicicleta o caminando","Bicicleta",F115="Ninguno, pues realicé 100% teletrabajo","No aplica",F115="Moto eléctrica","Moto eléctrica",F115="Vehículo eléctrico - Uso Individual","Vehículo eléctrico",F115="Vehículo eléctrico - Uso Compartido","Vehículo eléctrico")</f>
        <v>#NAME?</v>
      </c>
      <c r="J115" s="486">
        <v>1</v>
      </c>
      <c r="K115" s="1324" t="e">
        <f t="shared" ca="1" si="0"/>
        <v>#NAME?</v>
      </c>
      <c r="L115" s="1325">
        <f ca="1">+IFERROR(VLOOKUP(I115,'Factores Emisión EDGE'!$K$267:$L$272,2,0),0)</f>
        <v>0</v>
      </c>
      <c r="M115" s="1325" t="e">
        <f t="shared" ca="1" si="1"/>
        <v>#NAME?</v>
      </c>
      <c r="N115" s="486" t="s">
        <v>3043</v>
      </c>
      <c r="O115" s="1312"/>
      <c r="P115" s="1312"/>
    </row>
    <row r="116" spans="1:16" ht="15.75" customHeight="1">
      <c r="A116" s="1314">
        <v>44930.672131446758</v>
      </c>
      <c r="B116" s="1310" t="s">
        <v>3213</v>
      </c>
      <c r="C116" s="1310" t="s">
        <v>3214</v>
      </c>
      <c r="D116" s="1310" t="s">
        <v>3107</v>
      </c>
      <c r="E116" s="1310" t="s">
        <v>3042</v>
      </c>
      <c r="F116" s="1310" t="s">
        <v>1952</v>
      </c>
      <c r="G116" s="1326">
        <v>25</v>
      </c>
      <c r="H116" s="486" t="e">
        <f t="array" aca="1" ref="H116" ca="1">+_xludf.IFS(E116="100% Presencial",1, E116="20% Teletrabajo (4 días a la semana)",0.8,E116="40% Teletrabajo (3 días a la semana)",0.6,E116="60% Teletrabajo (2 días a la semana)",0.4,E116="80% Teletrabajo (1 día a la semana)",0.2,E116="100% Teletrabajo",0)</f>
        <v>#NAME?</v>
      </c>
      <c r="I116" s="486" t="e">
        <f t="array" aca="1" ref="I116" ca="1">+_xludf.IFS(F116="Vehículo - Uso individual","Auto",F116="Vehículo - Uso compartido","Auto",F116="Transporte público/bus de acercamiento","Bus",F116="Moto","Moto",F116="Bicicleta o caminando","Bicicleta",F116="Ninguno, pues realicé 100% teletrabajo","No aplica",F116="Moto eléctrica","Moto eléctrica",F116="Vehículo eléctrico - Uso Individual","Vehículo eléctrico",F116="Vehículo eléctrico - Uso Compartido","Vehículo eléctrico")</f>
        <v>#NAME?</v>
      </c>
      <c r="J116" s="486">
        <v>1</v>
      </c>
      <c r="K116" s="1324" t="e">
        <f t="shared" ca="1" si="0"/>
        <v>#NAME?</v>
      </c>
      <c r="L116" s="1325">
        <f ca="1">+IFERROR(VLOOKUP(I116,'Factores Emisión EDGE'!$K$267:$L$272,2,0),0)</f>
        <v>0</v>
      </c>
      <c r="M116" s="1325" t="e">
        <f t="shared" ca="1" si="1"/>
        <v>#NAME?</v>
      </c>
      <c r="N116" s="486" t="s">
        <v>3056</v>
      </c>
      <c r="O116" s="1312"/>
      <c r="P116" s="1312"/>
    </row>
    <row r="117" spans="1:16" ht="15.75" customHeight="1">
      <c r="A117" s="1314">
        <v>44931.472732164351</v>
      </c>
      <c r="B117" s="1310" t="s">
        <v>3215</v>
      </c>
      <c r="C117" s="1310" t="s">
        <v>3216</v>
      </c>
      <c r="D117" s="1310" t="s">
        <v>3063</v>
      </c>
      <c r="E117" s="1310" t="s">
        <v>3042</v>
      </c>
      <c r="F117" s="1310" t="s">
        <v>3055</v>
      </c>
      <c r="G117" s="1326">
        <v>25</v>
      </c>
      <c r="H117" s="486" t="e">
        <f t="array" aca="1" ref="H117" ca="1">+_xludf.IFS(E117="100% Presencial",1, E117="20% Teletrabajo (4 días a la semana)",0.8,E117="40% Teletrabajo (3 días a la semana)",0.6,E117="60% Teletrabajo (2 días a la semana)",0.4,E117="80% Teletrabajo (1 día a la semana)",0.2,E117="100% Teletrabajo",0)</f>
        <v>#NAME?</v>
      </c>
      <c r="I117" s="486" t="e">
        <f t="array" aca="1" ref="I117" ca="1">+_xludf.IFS(F117="Vehículo - Uso individual","Auto",F117="Vehículo - Uso compartido","Auto",F117="Transporte público/bus de acercamiento","Bus",F117="Moto","Moto",F117="Bicicleta o caminando","Bicicleta",F117="Ninguno, pues realicé 100% teletrabajo","No aplica",F117="Moto eléctrica","Moto eléctrica",F117="Vehículo eléctrico - Uso Individual","Vehículo eléctrico",F117="Vehículo eléctrico - Uso Compartido","Vehículo eléctrico")</f>
        <v>#NAME?</v>
      </c>
      <c r="J117" s="486">
        <v>1</v>
      </c>
      <c r="K117" s="1324" t="e">
        <f t="shared" ca="1" si="0"/>
        <v>#NAME?</v>
      </c>
      <c r="L117" s="1325">
        <f ca="1">+IFERROR(VLOOKUP(I117,'Factores Emisión EDGE'!$K$267:$L$272,2,0),0)</f>
        <v>0</v>
      </c>
      <c r="M117" s="1325" t="e">
        <f t="shared" ca="1" si="1"/>
        <v>#NAME?</v>
      </c>
      <c r="N117" s="486" t="s">
        <v>3056</v>
      </c>
      <c r="O117" s="1312"/>
      <c r="P117" s="1312"/>
    </row>
    <row r="118" spans="1:16" ht="15.75" customHeight="1">
      <c r="A118" s="1314">
        <v>44939.377960902777</v>
      </c>
      <c r="B118" s="1310" t="s">
        <v>2021</v>
      </c>
      <c r="C118" s="1310" t="s">
        <v>2022</v>
      </c>
      <c r="D118" s="1310" t="s">
        <v>3048</v>
      </c>
      <c r="E118" s="1310" t="s">
        <v>3066</v>
      </c>
      <c r="F118" s="1310" t="s">
        <v>1952</v>
      </c>
      <c r="G118" s="1326">
        <v>25</v>
      </c>
      <c r="H118" s="486" t="e">
        <f t="array" aca="1" ref="H118" ca="1">+_xludf.IFS(E118="100% Presencial",1, E118="20% Teletrabajo (4 días a la semana)",0.8,E118="40% Teletrabajo (3 días a la semana)",0.6,E118="60% Teletrabajo (2 días a la semana)",0.4,E118="80% Teletrabajo (1 día a la semana)",0.2,E118="100% Teletrabajo",0)</f>
        <v>#NAME?</v>
      </c>
      <c r="I118" s="486" t="e">
        <f t="array" aca="1" ref="I118" ca="1">+_xludf.IFS(F118="Vehículo - Uso individual","Auto",F118="Vehículo - Uso compartido","Auto",F118="Transporte público/bus de acercamiento","Bus",F118="Moto","Moto",F118="Bicicleta o caminando","Bicicleta",F118="Ninguno, pues realicé 100% teletrabajo","No aplica",F118="Moto eléctrica","Moto eléctrica",F118="Vehículo eléctrico - Uso Individual","Vehículo eléctrico",F118="Vehículo eléctrico - Uso Compartido","Vehículo eléctrico")</f>
        <v>#NAME?</v>
      </c>
      <c r="J118" s="486">
        <v>1</v>
      </c>
      <c r="K118" s="1324" t="e">
        <f t="shared" ca="1" si="0"/>
        <v>#NAME?</v>
      </c>
      <c r="L118" s="1325">
        <f ca="1">+IFERROR(VLOOKUP(I118,'Factores Emisión EDGE'!$K$267:$L$272,2,0),0)</f>
        <v>0</v>
      </c>
      <c r="M118" s="1325" t="e">
        <f t="shared" ca="1" si="1"/>
        <v>#NAME?</v>
      </c>
      <c r="N118" s="486" t="s">
        <v>3043</v>
      </c>
      <c r="O118" s="1312"/>
      <c r="P118" s="1312"/>
    </row>
    <row r="119" spans="1:16" ht="15.75" customHeight="1">
      <c r="A119" s="1314">
        <v>44939.379598217594</v>
      </c>
      <c r="B119" s="1310" t="s">
        <v>2233</v>
      </c>
      <c r="C119" s="1310" t="s">
        <v>2234</v>
      </c>
      <c r="D119" s="1310" t="s">
        <v>3060</v>
      </c>
      <c r="E119" s="1310" t="s">
        <v>3042</v>
      </c>
      <c r="F119" s="1310" t="s">
        <v>3055</v>
      </c>
      <c r="G119" s="1326">
        <v>25</v>
      </c>
      <c r="H119" s="486" t="e">
        <f t="array" aca="1" ref="H119" ca="1">+_xludf.IFS(E119="100% Presencial",1, E119="20% Teletrabajo (4 días a la semana)",0.8,E119="40% Teletrabajo (3 días a la semana)",0.6,E119="60% Teletrabajo (2 días a la semana)",0.4,E119="80% Teletrabajo (1 día a la semana)",0.2,E119="100% Teletrabajo",0)</f>
        <v>#NAME?</v>
      </c>
      <c r="I119" s="486" t="e">
        <f t="array" aca="1" ref="I119" ca="1">+_xludf.IFS(F119="Vehículo - Uso individual","Auto",F119="Vehículo - Uso compartido","Auto",F119="Transporte público/bus de acercamiento","Bus",F119="Moto","Moto",F119="Bicicleta o caminando","Bicicleta",F119="Ninguno, pues realicé 100% teletrabajo","No aplica",F119="Moto eléctrica","Moto eléctrica",F119="Vehículo eléctrico - Uso Individual","Vehículo eléctrico",F119="Vehículo eléctrico - Uso Compartido","Vehículo eléctrico")</f>
        <v>#NAME?</v>
      </c>
      <c r="J119" s="486">
        <v>1</v>
      </c>
      <c r="K119" s="1324" t="e">
        <f t="shared" ca="1" si="0"/>
        <v>#NAME?</v>
      </c>
      <c r="L119" s="1325">
        <f ca="1">+IFERROR(VLOOKUP(I119,'Factores Emisión EDGE'!$K$267:$L$272,2,0),0)</f>
        <v>0</v>
      </c>
      <c r="M119" s="1325" t="e">
        <f t="shared" ca="1" si="1"/>
        <v>#NAME?</v>
      </c>
      <c r="N119" s="486" t="s">
        <v>3043</v>
      </c>
      <c r="O119" s="1312"/>
      <c r="P119" s="1312"/>
    </row>
    <row r="120" spans="1:16" ht="15.75" customHeight="1">
      <c r="A120" s="1314">
        <v>44929.497504756946</v>
      </c>
      <c r="B120" s="1310" t="s">
        <v>3217</v>
      </c>
      <c r="C120" s="1310" t="s">
        <v>3218</v>
      </c>
      <c r="D120" s="1310" t="s">
        <v>3048</v>
      </c>
      <c r="E120" s="1310" t="s">
        <v>3049</v>
      </c>
      <c r="F120" s="1310" t="s">
        <v>3050</v>
      </c>
      <c r="G120" s="1326">
        <v>3</v>
      </c>
      <c r="H120" s="486" t="e">
        <f t="array" aca="1" ref="H120" ca="1">+_xludf.IFS(E120="100% Presencial",1, E120="20% Teletrabajo (4 días a la semana)",0.8,E120="40% Teletrabajo (3 días a la semana)",0.6,E120="60% Teletrabajo (2 días a la semana)",0.4,E120="80% Teletrabajo (1 día a la semana)",0.2,E120="100% Teletrabajo",0)</f>
        <v>#NAME?</v>
      </c>
      <c r="I120" s="486" t="e">
        <f t="array" aca="1" ref="I120" ca="1">+_xludf.IFS(F120="Vehículo - Uso individual","Auto",F120="Vehículo - Uso compartido","Auto",F120="Transporte público/bus de acercamiento","Bus",F120="Moto","Moto",F120="Bicicleta o caminando","Bicicleta",F120="Ninguno, pues realicé 100% teletrabajo","No aplica",F120="Moto eléctrica","Moto eléctrica",F120="Vehículo eléctrico - Uso Individual","Vehículo eléctrico",F120="Vehículo eléctrico - Uso Compartido","Vehículo eléctrico")</f>
        <v>#NAME?</v>
      </c>
      <c r="J120" s="486">
        <v>1</v>
      </c>
      <c r="K120" s="1324" t="e">
        <f t="shared" ca="1" si="0"/>
        <v>#NAME?</v>
      </c>
      <c r="L120" s="1325">
        <f ca="1">+IFERROR(VLOOKUP(I120,'Factores Emisión EDGE'!$K$267:$L$272,2,0),0)</f>
        <v>0</v>
      </c>
      <c r="M120" s="1325" t="e">
        <f t="shared" ca="1" si="1"/>
        <v>#NAME?</v>
      </c>
      <c r="N120" s="486" t="s">
        <v>3043</v>
      </c>
      <c r="O120" s="1312"/>
      <c r="P120" s="1312"/>
    </row>
    <row r="121" spans="1:16" ht="15.75" customHeight="1">
      <c r="A121" s="1314">
        <v>44929.509384849538</v>
      </c>
      <c r="B121" s="1310" t="s">
        <v>3219</v>
      </c>
      <c r="C121" s="1310" t="s">
        <v>3220</v>
      </c>
      <c r="D121" s="1310" t="s">
        <v>3048</v>
      </c>
      <c r="E121" s="1310" t="s">
        <v>3049</v>
      </c>
      <c r="F121" s="1310" t="s">
        <v>3050</v>
      </c>
      <c r="G121" s="1326">
        <v>3</v>
      </c>
      <c r="H121" s="486" t="e">
        <f t="array" aca="1" ref="H121" ca="1">+_xludf.IFS(E121="100% Presencial",1, E121="20% Teletrabajo (4 días a la semana)",0.8,E121="40% Teletrabajo (3 días a la semana)",0.6,E121="60% Teletrabajo (2 días a la semana)",0.4,E121="80% Teletrabajo (1 día a la semana)",0.2,E121="100% Teletrabajo",0)</f>
        <v>#NAME?</v>
      </c>
      <c r="I121" s="486" t="e">
        <f t="array" aca="1" ref="I121" ca="1">+_xludf.IFS(F121="Vehículo - Uso individual","Auto",F121="Vehículo - Uso compartido","Auto",F121="Transporte público/bus de acercamiento","Bus",F121="Moto","Moto",F121="Bicicleta o caminando","Bicicleta",F121="Ninguno, pues realicé 100% teletrabajo","No aplica",F121="Moto eléctrica","Moto eléctrica",F121="Vehículo eléctrico - Uso Individual","Vehículo eléctrico",F121="Vehículo eléctrico - Uso Compartido","Vehículo eléctrico")</f>
        <v>#NAME?</v>
      </c>
      <c r="J121" s="486">
        <v>1</v>
      </c>
      <c r="K121" s="1324" t="e">
        <f t="shared" ca="1" si="0"/>
        <v>#NAME?</v>
      </c>
      <c r="L121" s="1325">
        <f ca="1">+IFERROR(VLOOKUP(I121,'Factores Emisión EDGE'!$K$267:$L$272,2,0),0)</f>
        <v>0</v>
      </c>
      <c r="M121" s="1325" t="e">
        <f t="shared" ca="1" si="1"/>
        <v>#NAME?</v>
      </c>
      <c r="N121" s="486" t="s">
        <v>3043</v>
      </c>
      <c r="O121" s="1312"/>
      <c r="P121" s="1312"/>
    </row>
    <row r="122" spans="1:16" ht="15.75" customHeight="1">
      <c r="A122" s="1314">
        <v>44939.395611817134</v>
      </c>
      <c r="B122" s="1310" t="s">
        <v>3221</v>
      </c>
      <c r="C122" s="1310" t="s">
        <v>3222</v>
      </c>
      <c r="D122" s="1310" t="s">
        <v>3083</v>
      </c>
      <c r="E122" s="1310" t="s">
        <v>3042</v>
      </c>
      <c r="F122" s="1310" t="s">
        <v>1983</v>
      </c>
      <c r="G122" s="1326">
        <v>25</v>
      </c>
      <c r="H122" s="486" t="e">
        <f t="array" aca="1" ref="H122" ca="1">+_xludf.IFS(E122="100% Presencial",1, E122="20% Teletrabajo (4 días a la semana)",0.8,E122="40% Teletrabajo (3 días a la semana)",0.6,E122="60% Teletrabajo (2 días a la semana)",0.4,E122="80% Teletrabajo (1 día a la semana)",0.2,E122="100% Teletrabajo",0)</f>
        <v>#NAME?</v>
      </c>
      <c r="I122" s="486" t="e">
        <f t="array" aca="1" ref="I122" ca="1">+_xludf.IFS(F122="Vehículo - Uso individual","Auto",F122="Vehículo - Uso compartido","Auto",F122="Transporte público/bus de acercamiento","Bus",F122="Moto","Moto",F122="Bicicleta o caminando","Bicicleta",F122="Ninguno, pues realicé 100% teletrabajo","No aplica",F122="Moto eléctrica","Moto eléctrica",F122="Vehículo eléctrico - Uso Individual","Vehículo eléctrico",F122="Vehículo eléctrico - Uso Compartido","Vehículo eléctrico")</f>
        <v>#NAME?</v>
      </c>
      <c r="J122" s="486">
        <v>1</v>
      </c>
      <c r="K122" s="1324" t="e">
        <f t="shared" ca="1" si="0"/>
        <v>#NAME?</v>
      </c>
      <c r="L122" s="1325">
        <f ca="1">+IFERROR(VLOOKUP(I122,'Factores Emisión EDGE'!$K$267:$L$272,2,0),0)</f>
        <v>0</v>
      </c>
      <c r="M122" s="1325" t="e">
        <f t="shared" ca="1" si="1"/>
        <v>#NAME?</v>
      </c>
      <c r="N122" s="486" t="s">
        <v>3043</v>
      </c>
      <c r="O122" s="1312"/>
      <c r="P122" s="1312"/>
    </row>
    <row r="123" spans="1:16" ht="15.75" customHeight="1">
      <c r="A123" s="1314">
        <v>44939.42026032407</v>
      </c>
      <c r="B123" s="1310" t="s">
        <v>3223</v>
      </c>
      <c r="C123" s="1310" t="s">
        <v>3224</v>
      </c>
      <c r="D123" s="1310" t="s">
        <v>3048</v>
      </c>
      <c r="E123" s="1310" t="s">
        <v>3066</v>
      </c>
      <c r="F123" s="1310" t="s">
        <v>1952</v>
      </c>
      <c r="G123" s="1326">
        <v>25</v>
      </c>
      <c r="H123" s="486" t="e">
        <f t="array" aca="1" ref="H123" ca="1">+_xludf.IFS(E123="100% Presencial",1, E123="20% Teletrabajo (4 días a la semana)",0.8,E123="40% Teletrabajo (3 días a la semana)",0.6,E123="60% Teletrabajo (2 días a la semana)",0.4,E123="80% Teletrabajo (1 día a la semana)",0.2,E123="100% Teletrabajo",0)</f>
        <v>#NAME?</v>
      </c>
      <c r="I123" s="486" t="e">
        <f t="array" aca="1" ref="I123" ca="1">+_xludf.IFS(F123="Vehículo - Uso individual","Auto",F123="Vehículo - Uso compartido","Auto",F123="Transporte público/bus de acercamiento","Bus",F123="Moto","Moto",F123="Bicicleta o caminando","Bicicleta",F123="Ninguno, pues realicé 100% teletrabajo","No aplica",F123="Moto eléctrica","Moto eléctrica",F123="Vehículo eléctrico - Uso Individual","Vehículo eléctrico",F123="Vehículo eléctrico - Uso Compartido","Vehículo eléctrico")</f>
        <v>#NAME?</v>
      </c>
      <c r="J123" s="486">
        <v>1</v>
      </c>
      <c r="K123" s="1324" t="e">
        <f t="shared" ca="1" si="0"/>
        <v>#NAME?</v>
      </c>
      <c r="L123" s="1325">
        <f ca="1">+IFERROR(VLOOKUP(I123,'Factores Emisión EDGE'!$K$267:$L$272,2,0),0)</f>
        <v>0</v>
      </c>
      <c r="M123" s="1325" t="e">
        <f t="shared" ca="1" si="1"/>
        <v>#NAME?</v>
      </c>
      <c r="N123" s="486" t="s">
        <v>3043</v>
      </c>
      <c r="O123" s="1312"/>
      <c r="P123" s="1312"/>
    </row>
    <row r="124" spans="1:16" ht="15.75" customHeight="1">
      <c r="A124" s="1314">
        <v>44929.758830636572</v>
      </c>
      <c r="B124" s="1310" t="s">
        <v>3225</v>
      </c>
      <c r="C124" s="1310" t="s">
        <v>3226</v>
      </c>
      <c r="D124" s="1310" t="s">
        <v>3048</v>
      </c>
      <c r="E124" s="1310" t="s">
        <v>3066</v>
      </c>
      <c r="F124" s="1310" t="s">
        <v>1952</v>
      </c>
      <c r="G124" s="1326">
        <v>24</v>
      </c>
      <c r="H124" s="486" t="e">
        <f t="array" aca="1" ref="H124" ca="1">+_xludf.IFS(E124="100% Presencial",1, E124="20% Teletrabajo (4 días a la semana)",0.8,E124="40% Teletrabajo (3 días a la semana)",0.6,E124="60% Teletrabajo (2 días a la semana)",0.4,E124="80% Teletrabajo (1 día a la semana)",0.2,E124="100% Teletrabajo",0)</f>
        <v>#NAME?</v>
      </c>
      <c r="I124" s="486" t="e">
        <f t="array" aca="1" ref="I124" ca="1">+_xludf.IFS(F124="Vehículo - Uso individual","Auto",F124="Vehículo - Uso compartido","Auto",F124="Transporte público/bus de acercamiento","Bus",F124="Moto","Moto",F124="Bicicleta o caminando","Bicicleta",F124="Ninguno, pues realicé 100% teletrabajo","No aplica",F124="Moto eléctrica","Moto eléctrica",F124="Vehículo eléctrico - Uso Individual","Vehículo eléctrico",F124="Vehículo eléctrico - Uso Compartido","Vehículo eléctrico")</f>
        <v>#NAME?</v>
      </c>
      <c r="J124" s="486">
        <v>1</v>
      </c>
      <c r="K124" s="1324" t="e">
        <f t="shared" ca="1" si="0"/>
        <v>#NAME?</v>
      </c>
      <c r="L124" s="1325">
        <f ca="1">+IFERROR(VLOOKUP(I124,'Factores Emisión EDGE'!$K$267:$L$272,2,0),0)</f>
        <v>0</v>
      </c>
      <c r="M124" s="1325" t="e">
        <f t="shared" ca="1" si="1"/>
        <v>#NAME?</v>
      </c>
      <c r="N124" s="486" t="s">
        <v>3043</v>
      </c>
      <c r="O124" s="1312"/>
      <c r="P124" s="1312"/>
    </row>
    <row r="125" spans="1:16" ht="15.75" customHeight="1">
      <c r="A125" s="1314">
        <v>44929.482326759258</v>
      </c>
      <c r="B125" s="1310" t="s">
        <v>2146</v>
      </c>
      <c r="C125" s="1310" t="s">
        <v>2147</v>
      </c>
      <c r="D125" s="1310" t="s">
        <v>3048</v>
      </c>
      <c r="E125" s="1310" t="s">
        <v>883</v>
      </c>
      <c r="F125" s="1310" t="s">
        <v>1952</v>
      </c>
      <c r="G125" s="1326">
        <v>24</v>
      </c>
      <c r="H125" s="486" t="e">
        <f t="array" aca="1" ref="H125" ca="1">+_xludf.IFS(E125="100% Presencial",1, E125="20% Teletrabajo (4 días a la semana)",0.8,E125="40% Teletrabajo (3 días a la semana)",0.6,E125="60% Teletrabajo (2 días a la semana)",0.4,E125="80% Teletrabajo (1 día a la semana)",0.2,E125="100% Teletrabajo",0)</f>
        <v>#NAME?</v>
      </c>
      <c r="I125" s="486" t="e">
        <f t="array" aca="1" ref="I125" ca="1">+_xludf.IFS(F125="Vehículo - Uso individual","Auto",F125="Vehículo - Uso compartido","Auto",F125="Transporte público/bus de acercamiento","Bus",F125="Moto","Moto",F125="Bicicleta o caminando","Bicicleta",F125="Ninguno, pues realicé 100% teletrabajo","No aplica",F125="Moto eléctrica","Moto eléctrica",F125="Vehículo eléctrico - Uso Individual","Vehículo eléctrico",F125="Vehículo eléctrico - Uso Compartido","Vehículo eléctrico")</f>
        <v>#NAME?</v>
      </c>
      <c r="J125" s="486">
        <v>1</v>
      </c>
      <c r="K125" s="1324" t="e">
        <f t="shared" ca="1" si="0"/>
        <v>#NAME?</v>
      </c>
      <c r="L125" s="1325">
        <f ca="1">+IFERROR(VLOOKUP(I125,'Factores Emisión EDGE'!$K$267:$L$272,2,0),0)</f>
        <v>0</v>
      </c>
      <c r="M125" s="1325" t="e">
        <f t="shared" ca="1" si="1"/>
        <v>#NAME?</v>
      </c>
      <c r="N125" s="486" t="s">
        <v>3043</v>
      </c>
      <c r="O125" s="1312"/>
      <c r="P125" s="1312"/>
    </row>
    <row r="126" spans="1:16" ht="15.75" customHeight="1">
      <c r="A126" s="1314">
        <v>44929.486058773153</v>
      </c>
      <c r="B126" s="1310" t="s">
        <v>3227</v>
      </c>
      <c r="C126" s="1310" t="s">
        <v>2185</v>
      </c>
      <c r="D126" s="1310" t="s">
        <v>3107</v>
      </c>
      <c r="E126" s="1310" t="s">
        <v>3042</v>
      </c>
      <c r="F126" s="1310" t="s">
        <v>1952</v>
      </c>
      <c r="G126" s="1326">
        <v>24</v>
      </c>
      <c r="H126" s="486" t="e">
        <f t="array" aca="1" ref="H126" ca="1">+_xludf.IFS(E126="100% Presencial",1, E126="20% Teletrabajo (4 días a la semana)",0.8,E126="40% Teletrabajo (3 días a la semana)",0.6,E126="60% Teletrabajo (2 días a la semana)",0.4,E126="80% Teletrabajo (1 día a la semana)",0.2,E126="100% Teletrabajo",0)</f>
        <v>#NAME?</v>
      </c>
      <c r="I126" s="486" t="e">
        <f t="array" aca="1" ref="I126" ca="1">+_xludf.IFS(F126="Vehículo - Uso individual","Auto",F126="Vehículo - Uso compartido","Auto",F126="Transporte público/bus de acercamiento","Bus",F126="Moto","Moto",F126="Bicicleta o caminando","Bicicleta",F126="Ninguno, pues realicé 100% teletrabajo","No aplica",F126="Moto eléctrica","Moto eléctrica",F126="Vehículo eléctrico - Uso Individual","Vehículo eléctrico",F126="Vehículo eléctrico - Uso Compartido","Vehículo eléctrico")</f>
        <v>#NAME?</v>
      </c>
      <c r="J126" s="486">
        <v>1</v>
      </c>
      <c r="K126" s="1324" t="e">
        <f t="shared" ca="1" si="0"/>
        <v>#NAME?</v>
      </c>
      <c r="L126" s="1325">
        <f ca="1">+IFERROR(VLOOKUP(I126,'Factores Emisión EDGE'!$K$267:$L$272,2,0),0)</f>
        <v>0</v>
      </c>
      <c r="M126" s="1325" t="e">
        <f t="shared" ca="1" si="1"/>
        <v>#NAME?</v>
      </c>
      <c r="N126" s="486" t="s">
        <v>3043</v>
      </c>
      <c r="O126" s="1312"/>
      <c r="P126" s="1312"/>
    </row>
    <row r="127" spans="1:16" ht="15.75" customHeight="1">
      <c r="A127" s="1314">
        <v>44929.520675347223</v>
      </c>
      <c r="B127" s="1310" t="s">
        <v>3228</v>
      </c>
      <c r="C127" s="1310" t="s">
        <v>3229</v>
      </c>
      <c r="D127" s="1310" t="s">
        <v>3048</v>
      </c>
      <c r="E127" s="1310" t="s">
        <v>881</v>
      </c>
      <c r="F127" s="1310" t="s">
        <v>1952</v>
      </c>
      <c r="G127" s="1326">
        <v>24</v>
      </c>
      <c r="H127" s="486" t="e">
        <f t="array" aca="1" ref="H127" ca="1">+_xludf.IFS(E127="100% Presencial",1, E127="20% Teletrabajo (4 días a la semana)",0.8,E127="40% Teletrabajo (3 días a la semana)",0.6,E127="60% Teletrabajo (2 días a la semana)",0.4,E127="80% Teletrabajo (1 día a la semana)",0.2,E127="100% Teletrabajo",0)</f>
        <v>#NAME?</v>
      </c>
      <c r="I127" s="486" t="e">
        <f t="array" aca="1" ref="I127" ca="1">+_xludf.IFS(F127="Vehículo - Uso individual","Auto",F127="Vehículo - Uso compartido","Auto",F127="Transporte público/bus de acercamiento","Bus",F127="Moto","Moto",F127="Bicicleta o caminando","Bicicleta",F127="Ninguno, pues realicé 100% teletrabajo","No aplica",F127="Moto eléctrica","Moto eléctrica",F127="Vehículo eléctrico - Uso Individual","Vehículo eléctrico",F127="Vehículo eléctrico - Uso Compartido","Vehículo eléctrico")</f>
        <v>#NAME?</v>
      </c>
      <c r="J127" s="486">
        <v>1</v>
      </c>
      <c r="K127" s="1324" t="e">
        <f t="shared" ca="1" si="0"/>
        <v>#NAME?</v>
      </c>
      <c r="L127" s="1325">
        <f ca="1">+IFERROR(VLOOKUP(I127,'Factores Emisión EDGE'!$K$267:$L$272,2,0),0)</f>
        <v>0</v>
      </c>
      <c r="M127" s="1325" t="e">
        <f t="shared" ca="1" si="1"/>
        <v>#NAME?</v>
      </c>
      <c r="N127" s="486" t="s">
        <v>3043</v>
      </c>
      <c r="O127" s="1312"/>
      <c r="P127" s="1312"/>
    </row>
    <row r="128" spans="1:16" ht="15.75" customHeight="1">
      <c r="A128" s="1314">
        <v>44939.451964340275</v>
      </c>
      <c r="B128" s="1310" t="s">
        <v>3230</v>
      </c>
      <c r="C128" s="1310" t="s">
        <v>3231</v>
      </c>
      <c r="D128" s="1310" t="s">
        <v>3048</v>
      </c>
      <c r="E128" s="1310" t="s">
        <v>885</v>
      </c>
      <c r="F128" s="1310" t="s">
        <v>1952</v>
      </c>
      <c r="G128" s="1326">
        <v>24</v>
      </c>
      <c r="H128" s="486" t="e">
        <f t="array" aca="1" ref="H128" ca="1">+_xludf.IFS(E128="100% Presencial",1, E128="20% Teletrabajo (4 días a la semana)",0.8,E128="40% Teletrabajo (3 días a la semana)",0.6,E128="60% Teletrabajo (2 días a la semana)",0.4,E128="80% Teletrabajo (1 día a la semana)",0.2,E128="100% Teletrabajo",0)</f>
        <v>#NAME?</v>
      </c>
      <c r="I128" s="486" t="e">
        <f t="array" aca="1" ref="I128" ca="1">+_xludf.IFS(F128="Vehículo - Uso individual","Auto",F128="Vehículo - Uso compartido","Auto",F128="Transporte público/bus de acercamiento","Bus",F128="Moto","Moto",F128="Bicicleta o caminando","Bicicleta",F128="Ninguno, pues realicé 100% teletrabajo","No aplica",F128="Moto eléctrica","Moto eléctrica",F128="Vehículo eléctrico - Uso Individual","Vehículo eléctrico",F128="Vehículo eléctrico - Uso Compartido","Vehículo eléctrico")</f>
        <v>#NAME?</v>
      </c>
      <c r="J128" s="486">
        <v>1</v>
      </c>
      <c r="K128" s="1324" t="e">
        <f t="shared" ca="1" si="0"/>
        <v>#NAME?</v>
      </c>
      <c r="L128" s="1325">
        <f ca="1">+IFERROR(VLOOKUP(I128,'Factores Emisión EDGE'!$K$267:$L$272,2,0),0)</f>
        <v>0</v>
      </c>
      <c r="M128" s="1325" t="e">
        <f t="shared" ca="1" si="1"/>
        <v>#NAME?</v>
      </c>
      <c r="N128" s="486" t="s">
        <v>3043</v>
      </c>
      <c r="O128" s="1312"/>
      <c r="P128" s="1312"/>
    </row>
    <row r="129" spans="1:16" ht="15.75" customHeight="1">
      <c r="A129" s="1314">
        <v>44929.645466458329</v>
      </c>
      <c r="B129" s="1310" t="s">
        <v>2548</v>
      </c>
      <c r="C129" s="1310" t="s">
        <v>2549</v>
      </c>
      <c r="D129" s="1310" t="s">
        <v>3048</v>
      </c>
      <c r="E129" s="1310" t="s">
        <v>3066</v>
      </c>
      <c r="F129" s="1310" t="s">
        <v>3055</v>
      </c>
      <c r="G129" s="1326">
        <v>23.4</v>
      </c>
      <c r="H129" s="486" t="e">
        <f t="array" aca="1" ref="H129" ca="1">+_xludf.IFS(E129="100% Presencial",1, E129="20% Teletrabajo (4 días a la semana)",0.8,E129="40% Teletrabajo (3 días a la semana)",0.6,E129="60% Teletrabajo (2 días a la semana)",0.4,E129="80% Teletrabajo (1 día a la semana)",0.2,E129="100% Teletrabajo",0)</f>
        <v>#NAME?</v>
      </c>
      <c r="I129" s="486" t="e">
        <f t="array" aca="1" ref="I129" ca="1">+_xludf.IFS(F129="Vehículo - Uso individual","Auto",F129="Vehículo - Uso compartido","Auto",F129="Transporte público/bus de acercamiento","Bus",F129="Moto","Moto",F129="Bicicleta o caminando","Bicicleta",F129="Ninguno, pues realicé 100% teletrabajo","No aplica",F129="Moto eléctrica","Moto eléctrica",F129="Vehículo eléctrico - Uso Individual","Vehículo eléctrico",F129="Vehículo eléctrico - Uso Compartido","Vehículo eléctrico")</f>
        <v>#NAME?</v>
      </c>
      <c r="J129" s="486">
        <v>1</v>
      </c>
      <c r="K129" s="1324" t="e">
        <f t="shared" ca="1" si="0"/>
        <v>#NAME?</v>
      </c>
      <c r="L129" s="1325">
        <f ca="1">+IFERROR(VLOOKUP(I129,'Factores Emisión EDGE'!$K$267:$L$272,2,0),0)</f>
        <v>0</v>
      </c>
      <c r="M129" s="1325" t="e">
        <f t="shared" ca="1" si="1"/>
        <v>#NAME?</v>
      </c>
      <c r="N129" s="486" t="s">
        <v>3043</v>
      </c>
      <c r="O129" s="1312"/>
      <c r="P129" s="1312"/>
    </row>
    <row r="130" spans="1:16" ht="15.75" customHeight="1">
      <c r="A130" s="1314">
        <v>44935.388229108794</v>
      </c>
      <c r="B130" s="1310" t="s">
        <v>2253</v>
      </c>
      <c r="C130" s="1310" t="s">
        <v>2254</v>
      </c>
      <c r="D130" s="1310" t="s">
        <v>3048</v>
      </c>
      <c r="E130" s="1310" t="s">
        <v>885</v>
      </c>
      <c r="F130" s="1310" t="s">
        <v>3055</v>
      </c>
      <c r="G130" s="1326">
        <v>23</v>
      </c>
      <c r="H130" s="486" t="e">
        <f t="array" aca="1" ref="H130" ca="1">+_xludf.IFS(E130="100% Presencial",1, E130="20% Teletrabajo (4 días a la semana)",0.8,E130="40% Teletrabajo (3 días a la semana)",0.6,E130="60% Teletrabajo (2 días a la semana)",0.4,E130="80% Teletrabajo (1 día a la semana)",0.2,E130="100% Teletrabajo",0)</f>
        <v>#NAME?</v>
      </c>
      <c r="I130" s="486" t="e">
        <f t="array" aca="1" ref="I130" ca="1">+_xludf.IFS(F130="Vehículo - Uso individual","Auto",F130="Vehículo - Uso compartido","Auto",F130="Transporte público/bus de acercamiento","Bus",F130="Moto","Moto",F130="Bicicleta o caminando","Bicicleta",F130="Ninguno, pues realicé 100% teletrabajo","No aplica",F130="Moto eléctrica","Moto eléctrica",F130="Vehículo eléctrico - Uso Individual","Vehículo eléctrico",F130="Vehículo eléctrico - Uso Compartido","Vehículo eléctrico")</f>
        <v>#NAME?</v>
      </c>
      <c r="J130" s="486">
        <v>1</v>
      </c>
      <c r="K130" s="1324" t="e">
        <f t="shared" ca="1" si="0"/>
        <v>#NAME?</v>
      </c>
      <c r="L130" s="1325">
        <f ca="1">+IFERROR(VLOOKUP(I130,'Factores Emisión EDGE'!$K$267:$L$272,2,0),0)</f>
        <v>0</v>
      </c>
      <c r="M130" s="1325" t="e">
        <f t="shared" ca="1" si="1"/>
        <v>#NAME?</v>
      </c>
      <c r="N130" s="486" t="s">
        <v>3043</v>
      </c>
      <c r="O130" s="1312"/>
      <c r="P130" s="1312"/>
    </row>
    <row r="131" spans="1:16" ht="15.75" customHeight="1">
      <c r="A131" s="1314">
        <v>44935.486131585647</v>
      </c>
      <c r="B131" s="1310" t="s">
        <v>1969</v>
      </c>
      <c r="C131" s="1310" t="s">
        <v>1970</v>
      </c>
      <c r="D131" s="1310" t="s">
        <v>3048</v>
      </c>
      <c r="E131" s="1310" t="s">
        <v>3066</v>
      </c>
      <c r="F131" s="1310" t="s">
        <v>3055</v>
      </c>
      <c r="G131" s="1326">
        <v>23</v>
      </c>
      <c r="H131" s="486" t="e">
        <f t="array" aca="1" ref="H131" ca="1">+_xludf.IFS(E131="100% Presencial",1, E131="20% Teletrabajo (4 días a la semana)",0.8,E131="40% Teletrabajo (3 días a la semana)",0.6,E131="60% Teletrabajo (2 días a la semana)",0.4,E131="80% Teletrabajo (1 día a la semana)",0.2,E131="100% Teletrabajo",0)</f>
        <v>#NAME?</v>
      </c>
      <c r="I131" s="486" t="e">
        <f t="array" aca="1" ref="I131" ca="1">+_xludf.IFS(F131="Vehículo - Uso individual","Auto",F131="Vehículo - Uso compartido","Auto",F131="Transporte público/bus de acercamiento","Bus",F131="Moto","Moto",F131="Bicicleta o caminando","Bicicleta",F131="Ninguno, pues realicé 100% teletrabajo","No aplica",F131="Moto eléctrica","Moto eléctrica",F131="Vehículo eléctrico - Uso Individual","Vehículo eléctrico",F131="Vehículo eléctrico - Uso Compartido","Vehículo eléctrico")</f>
        <v>#NAME?</v>
      </c>
      <c r="J131" s="486">
        <v>1</v>
      </c>
      <c r="K131" s="1324" t="e">
        <f t="shared" ca="1" si="0"/>
        <v>#NAME?</v>
      </c>
      <c r="L131" s="1325">
        <f ca="1">+IFERROR(VLOOKUP(I131,'Factores Emisión EDGE'!$K$267:$L$272,2,0),0)</f>
        <v>0</v>
      </c>
      <c r="M131" s="1325" t="e">
        <f t="shared" ca="1" si="1"/>
        <v>#NAME?</v>
      </c>
      <c r="N131" s="486" t="s">
        <v>3043</v>
      </c>
      <c r="O131" s="1312"/>
      <c r="P131" s="1312"/>
    </row>
    <row r="132" spans="1:16" ht="15.75" customHeight="1">
      <c r="A132" s="1314">
        <v>44939.412096192129</v>
      </c>
      <c r="B132" s="1310" t="s">
        <v>3232</v>
      </c>
      <c r="C132" s="1310" t="s">
        <v>3233</v>
      </c>
      <c r="D132" s="1310" t="s">
        <v>3048</v>
      </c>
      <c r="E132" s="1310" t="s">
        <v>883</v>
      </c>
      <c r="F132" s="1310" t="s">
        <v>1952</v>
      </c>
      <c r="G132" s="1326">
        <v>23</v>
      </c>
      <c r="H132" s="486" t="e">
        <f t="array" aca="1" ref="H132" ca="1">+_xludf.IFS(E132="100% Presencial",1, E132="20% Teletrabajo (4 días a la semana)",0.8,E132="40% Teletrabajo (3 días a la semana)",0.6,E132="60% Teletrabajo (2 días a la semana)",0.4,E132="80% Teletrabajo (1 día a la semana)",0.2,E132="100% Teletrabajo",0)</f>
        <v>#NAME?</v>
      </c>
      <c r="I132" s="486" t="e">
        <f t="array" aca="1" ref="I132" ca="1">+_xludf.IFS(F132="Vehículo - Uso individual","Auto",F132="Vehículo - Uso compartido","Auto",F132="Transporte público/bus de acercamiento","Bus",F132="Moto","Moto",F132="Bicicleta o caminando","Bicicleta",F132="Ninguno, pues realicé 100% teletrabajo","No aplica",F132="Moto eléctrica","Moto eléctrica",F132="Vehículo eléctrico - Uso Individual","Vehículo eléctrico",F132="Vehículo eléctrico - Uso Compartido","Vehículo eléctrico")</f>
        <v>#NAME?</v>
      </c>
      <c r="J132" s="486">
        <v>1</v>
      </c>
      <c r="K132" s="1324" t="e">
        <f t="shared" ca="1" si="0"/>
        <v>#NAME?</v>
      </c>
      <c r="L132" s="1325">
        <f ca="1">+IFERROR(VLOOKUP(I132,'Factores Emisión EDGE'!$K$267:$L$272,2,0),0)</f>
        <v>0</v>
      </c>
      <c r="M132" s="1325" t="e">
        <f t="shared" ca="1" si="1"/>
        <v>#NAME?</v>
      </c>
      <c r="N132" s="486" t="s">
        <v>3043</v>
      </c>
      <c r="O132" s="1312"/>
      <c r="P132" s="1312"/>
    </row>
    <row r="133" spans="1:16" ht="15.75" customHeight="1">
      <c r="A133" s="1314">
        <v>44939.555330092597</v>
      </c>
      <c r="B133" s="1310" t="s">
        <v>3234</v>
      </c>
      <c r="C133" s="1310" t="s">
        <v>3235</v>
      </c>
      <c r="D133" s="1310" t="s">
        <v>3048</v>
      </c>
      <c r="E133" s="1310" t="s">
        <v>3042</v>
      </c>
      <c r="F133" s="1310" t="s">
        <v>3055</v>
      </c>
      <c r="G133" s="1326">
        <v>23</v>
      </c>
      <c r="H133" s="486" t="e">
        <f t="array" aca="1" ref="H133" ca="1">+_xludf.IFS(E133="100% Presencial",1, E133="20% Teletrabajo (4 días a la semana)",0.8,E133="40% Teletrabajo (3 días a la semana)",0.6,E133="60% Teletrabajo (2 días a la semana)",0.4,E133="80% Teletrabajo (1 día a la semana)",0.2,E133="100% Teletrabajo",0)</f>
        <v>#NAME?</v>
      </c>
      <c r="I133" s="486" t="e">
        <f t="array" aca="1" ref="I133" ca="1">+_xludf.IFS(F133="Vehículo - Uso individual","Auto",F133="Vehículo - Uso compartido","Auto",F133="Transporte público/bus de acercamiento","Bus",F133="Moto","Moto",F133="Bicicleta o caminando","Bicicleta",F133="Ninguno, pues realicé 100% teletrabajo","No aplica",F133="Moto eléctrica","Moto eléctrica",F133="Vehículo eléctrico - Uso Individual","Vehículo eléctrico",F133="Vehículo eléctrico - Uso Compartido","Vehículo eléctrico")</f>
        <v>#NAME?</v>
      </c>
      <c r="J133" s="486">
        <v>1</v>
      </c>
      <c r="K133" s="1324" t="e">
        <f t="shared" ca="1" si="0"/>
        <v>#NAME?</v>
      </c>
      <c r="L133" s="1325">
        <f ca="1">+IFERROR(VLOOKUP(I133,'Factores Emisión EDGE'!$K$267:$L$272,2,0),0)</f>
        <v>0</v>
      </c>
      <c r="M133" s="1325" t="e">
        <f t="shared" ca="1" si="1"/>
        <v>#NAME?</v>
      </c>
      <c r="N133" s="486" t="s">
        <v>3043</v>
      </c>
      <c r="O133" s="1312"/>
      <c r="P133" s="1312"/>
    </row>
    <row r="134" spans="1:16" ht="15.75" customHeight="1">
      <c r="A134" s="1314">
        <v>44938.658567777777</v>
      </c>
      <c r="B134" s="1310" t="s">
        <v>3236</v>
      </c>
      <c r="C134" s="1310" t="s">
        <v>3237</v>
      </c>
      <c r="D134" s="1310" t="s">
        <v>3107</v>
      </c>
      <c r="E134" s="1310" t="s">
        <v>3042</v>
      </c>
      <c r="F134" s="1310" t="s">
        <v>1995</v>
      </c>
      <c r="G134" s="1326">
        <v>23</v>
      </c>
      <c r="H134" s="486" t="e">
        <f t="array" aca="1" ref="H134" ca="1">+_xludf.IFS(E134="100% Presencial",1, E134="20% Teletrabajo (4 días a la semana)",0.8,E134="40% Teletrabajo (3 días a la semana)",0.6,E134="60% Teletrabajo (2 días a la semana)",0.4,E134="80% Teletrabajo (1 día a la semana)",0.2,E134="100% Teletrabajo",0)</f>
        <v>#NAME?</v>
      </c>
      <c r="I134" s="486" t="e">
        <f t="array" aca="1" ref="I134" ca="1">+_xludf.IFS(F134="Vehículo - Uso individual","Auto",F134="Vehículo - Uso compartido","Auto",F134="Transporte público/bus de acercamiento","Bus",F134="Moto","Moto",F134="Bicicleta o caminando","Bicicleta",F134="Ninguno, pues realicé 100% teletrabajo","No aplica",F134="Moto eléctrica","Moto eléctrica",F134="Vehículo eléctrico - Uso Individual","Vehículo eléctrico",F134="Vehículo eléctrico - Uso Compartido","Vehículo eléctrico")</f>
        <v>#NAME?</v>
      </c>
      <c r="J134" s="486">
        <v>0.25</v>
      </c>
      <c r="K134" s="1324" t="e">
        <f t="shared" ca="1" si="0"/>
        <v>#NAME?</v>
      </c>
      <c r="L134" s="1325">
        <f ca="1">+IFERROR(VLOOKUP(I134,'Factores Emisión EDGE'!$K$267:$L$272,2,0),0)</f>
        <v>0</v>
      </c>
      <c r="M134" s="1325" t="e">
        <f t="shared" ca="1" si="1"/>
        <v>#NAME?</v>
      </c>
      <c r="N134" s="486" t="s">
        <v>3056</v>
      </c>
      <c r="O134" s="1312"/>
      <c r="P134" s="1312"/>
    </row>
    <row r="135" spans="1:16" ht="15.75" customHeight="1">
      <c r="A135" s="1314">
        <v>44939.379976458338</v>
      </c>
      <c r="B135" s="1310" t="s">
        <v>2471</v>
      </c>
      <c r="C135" s="1310" t="s">
        <v>2472</v>
      </c>
      <c r="D135" s="1310" t="s">
        <v>3048</v>
      </c>
      <c r="E135" s="1310" t="s">
        <v>3049</v>
      </c>
      <c r="F135" s="1310" t="s">
        <v>3050</v>
      </c>
      <c r="G135" s="1326">
        <v>24</v>
      </c>
      <c r="H135" s="486" t="e">
        <f t="array" aca="1" ref="H135" ca="1">+_xludf.IFS(E135="100% Presencial",1, E135="20% Teletrabajo (4 días a la semana)",0.8,E135="40% Teletrabajo (3 días a la semana)",0.6,E135="60% Teletrabajo (2 días a la semana)",0.4,E135="80% Teletrabajo (1 día a la semana)",0.2,E135="100% Teletrabajo",0)</f>
        <v>#NAME?</v>
      </c>
      <c r="I135" s="486" t="e">
        <f t="array" aca="1" ref="I135" ca="1">+_xludf.IFS(F135="Vehículo - Uso individual","Auto",F135="Vehículo - Uso compartido","Auto",F135="Transporte público/bus de acercamiento","Bus",F135="Moto","Moto",F135="Bicicleta o caminando","Bicicleta",F135="Ninguno, pues realicé 100% teletrabajo","No aplica",F135="Moto eléctrica","Moto eléctrica",F135="Vehículo eléctrico - Uso Individual","Vehículo eléctrico",F135="Vehículo eléctrico - Uso Compartido","Vehículo eléctrico")</f>
        <v>#NAME?</v>
      </c>
      <c r="J135" s="486">
        <v>1</v>
      </c>
      <c r="K135" s="1324" t="e">
        <f t="shared" ca="1" si="0"/>
        <v>#NAME?</v>
      </c>
      <c r="L135" s="1325">
        <f ca="1">+IFERROR(VLOOKUP(I135,'Factores Emisión EDGE'!$K$267:$L$272,2,0),0)</f>
        <v>0</v>
      </c>
      <c r="M135" s="1325" t="e">
        <f t="shared" ca="1" si="1"/>
        <v>#NAME?</v>
      </c>
      <c r="N135" s="486" t="s">
        <v>3043</v>
      </c>
      <c r="O135" s="1312"/>
      <c r="P135" s="1312"/>
    </row>
    <row r="136" spans="1:16" ht="15.75" customHeight="1">
      <c r="A136" s="1314">
        <v>44930.427835115741</v>
      </c>
      <c r="B136" s="1310" t="s">
        <v>3238</v>
      </c>
      <c r="C136" s="1310" t="s">
        <v>3239</v>
      </c>
      <c r="D136" s="1310" t="s">
        <v>3048</v>
      </c>
      <c r="E136" s="1310" t="s">
        <v>885</v>
      </c>
      <c r="F136" s="1310" t="s">
        <v>1952</v>
      </c>
      <c r="G136" s="1326">
        <v>23</v>
      </c>
      <c r="H136" s="486" t="e">
        <f t="array" aca="1" ref="H136" ca="1">+_xludf.IFS(E136="100% Presencial",1, E136="20% Teletrabajo (4 días a la semana)",0.8,E136="40% Teletrabajo (3 días a la semana)",0.6,E136="60% Teletrabajo (2 días a la semana)",0.4,E136="80% Teletrabajo (1 día a la semana)",0.2,E136="100% Teletrabajo",0)</f>
        <v>#NAME?</v>
      </c>
      <c r="I136" s="486" t="e">
        <f t="array" aca="1" ref="I136" ca="1">+_xludf.IFS(F136="Vehículo - Uso individual","Auto",F136="Vehículo - Uso compartido","Auto",F136="Transporte público/bus de acercamiento","Bus",F136="Moto","Moto",F136="Bicicleta o caminando","Bicicleta",F136="Ninguno, pues realicé 100% teletrabajo","No aplica",F136="Moto eléctrica","Moto eléctrica",F136="Vehículo eléctrico - Uso Individual","Vehículo eléctrico",F136="Vehículo eléctrico - Uso Compartido","Vehículo eléctrico")</f>
        <v>#NAME?</v>
      </c>
      <c r="J136" s="486">
        <v>1</v>
      </c>
      <c r="K136" s="1324" t="e">
        <f t="shared" ca="1" si="0"/>
        <v>#NAME?</v>
      </c>
      <c r="L136" s="1325">
        <f ca="1">+IFERROR(VLOOKUP(I136,'Factores Emisión EDGE'!$K$267:$L$272,2,0),0)</f>
        <v>0</v>
      </c>
      <c r="M136" s="1325" t="e">
        <f t="shared" ca="1" si="1"/>
        <v>#NAME?</v>
      </c>
      <c r="N136" s="486" t="s">
        <v>3043</v>
      </c>
      <c r="O136" s="1312"/>
      <c r="P136" s="1312"/>
    </row>
    <row r="137" spans="1:16" ht="15.75" customHeight="1">
      <c r="A137" s="1314">
        <v>44930.419969305556</v>
      </c>
      <c r="B137" s="1310" t="s">
        <v>3025</v>
      </c>
      <c r="C137" s="1310" t="s">
        <v>3026</v>
      </c>
      <c r="D137" s="1310" t="s">
        <v>3048</v>
      </c>
      <c r="E137" s="1310" t="s">
        <v>3049</v>
      </c>
      <c r="F137" s="1310" t="s">
        <v>3050</v>
      </c>
      <c r="G137" s="1326">
        <v>25</v>
      </c>
      <c r="H137" s="486" t="e">
        <f t="array" aca="1" ref="H137" ca="1">+_xludf.IFS(E137="100% Presencial",1, E137="20% Teletrabajo (4 días a la semana)",0.8,E137="40% Teletrabajo (3 días a la semana)",0.6,E137="60% Teletrabajo (2 días a la semana)",0.4,E137="80% Teletrabajo (1 día a la semana)",0.2,E137="100% Teletrabajo",0)</f>
        <v>#NAME?</v>
      </c>
      <c r="I137" s="486" t="e">
        <f t="array" aca="1" ref="I137" ca="1">+_xludf.IFS(F137="Vehículo - Uso individual","Auto",F137="Vehículo - Uso compartido","Auto",F137="Transporte público/bus de acercamiento","Bus",F137="Moto","Moto",F137="Bicicleta o caminando","Bicicleta",F137="Ninguno, pues realicé 100% teletrabajo","No aplica",F137="Moto eléctrica","Moto eléctrica",F137="Vehículo eléctrico - Uso Individual","Vehículo eléctrico",F137="Vehículo eléctrico - Uso Compartido","Vehículo eléctrico")</f>
        <v>#NAME?</v>
      </c>
      <c r="J137" s="486">
        <v>1</v>
      </c>
      <c r="K137" s="1324" t="e">
        <f t="shared" ca="1" si="0"/>
        <v>#NAME?</v>
      </c>
      <c r="L137" s="1325">
        <f ca="1">+IFERROR(VLOOKUP(I137,'Factores Emisión EDGE'!$K$267:$L$272,2,0),0)</f>
        <v>0</v>
      </c>
      <c r="M137" s="1325" t="e">
        <f t="shared" ca="1" si="1"/>
        <v>#NAME?</v>
      </c>
      <c r="N137" s="486" t="s">
        <v>3043</v>
      </c>
      <c r="O137" s="1312"/>
      <c r="P137" s="1312"/>
    </row>
    <row r="138" spans="1:16" ht="15.75" customHeight="1">
      <c r="A138" s="1314">
        <v>44931.674265995374</v>
      </c>
      <c r="B138" s="1310" t="s">
        <v>3240</v>
      </c>
      <c r="C138" s="1310" t="s">
        <v>3241</v>
      </c>
      <c r="D138" s="1310" t="s">
        <v>3242</v>
      </c>
      <c r="E138" s="1310" t="s">
        <v>3066</v>
      </c>
      <c r="F138" s="1310" t="s">
        <v>1952</v>
      </c>
      <c r="G138" s="1326">
        <v>23</v>
      </c>
      <c r="H138" s="486" t="e">
        <f t="array" aca="1" ref="H138" ca="1">+_xludf.IFS(E138="100% Presencial",1, E138="20% Teletrabajo (4 días a la semana)",0.8,E138="40% Teletrabajo (3 días a la semana)",0.6,E138="60% Teletrabajo (2 días a la semana)",0.4,E138="80% Teletrabajo (1 día a la semana)",0.2,E138="100% Teletrabajo",0)</f>
        <v>#NAME?</v>
      </c>
      <c r="I138" s="486" t="e">
        <f t="array" aca="1" ref="I138" ca="1">+_xludf.IFS(F138="Vehículo - Uso individual","Auto",F138="Vehículo - Uso compartido","Auto",F138="Transporte público/bus de acercamiento","Bus",F138="Moto","Moto",F138="Bicicleta o caminando","Bicicleta",F138="Ninguno, pues realicé 100% teletrabajo","No aplica",F138="Moto eléctrica","Moto eléctrica",F138="Vehículo eléctrico - Uso Individual","Vehículo eléctrico",F138="Vehículo eléctrico - Uso Compartido","Vehículo eléctrico")</f>
        <v>#NAME?</v>
      </c>
      <c r="J138" s="486">
        <v>1</v>
      </c>
      <c r="K138" s="1324" t="e">
        <f t="shared" ca="1" si="0"/>
        <v>#NAME?</v>
      </c>
      <c r="L138" s="1325">
        <f ca="1">+IFERROR(VLOOKUP(I138,'Factores Emisión EDGE'!$K$267:$L$272,2,0),0)</f>
        <v>0</v>
      </c>
      <c r="M138" s="1325" t="e">
        <f t="shared" ca="1" si="1"/>
        <v>#NAME?</v>
      </c>
      <c r="N138" s="486" t="s">
        <v>3043</v>
      </c>
      <c r="O138" s="1312"/>
      <c r="P138" s="1312"/>
    </row>
    <row r="139" spans="1:16" ht="15.75" customHeight="1">
      <c r="A139" s="1314">
        <v>44938.54899354167</v>
      </c>
      <c r="B139" s="1310" t="s">
        <v>3243</v>
      </c>
      <c r="C139" s="1310" t="s">
        <v>3244</v>
      </c>
      <c r="D139" s="1310" t="s">
        <v>3063</v>
      </c>
      <c r="E139" s="1310" t="s">
        <v>3042</v>
      </c>
      <c r="F139" s="1310" t="s">
        <v>1952</v>
      </c>
      <c r="G139" s="1326">
        <v>22</v>
      </c>
      <c r="H139" s="486" t="e">
        <f t="array" aca="1" ref="H139" ca="1">+_xludf.IFS(E139="100% Presencial",1, E139="20% Teletrabajo (4 días a la semana)",0.8,E139="40% Teletrabajo (3 días a la semana)",0.6,E139="60% Teletrabajo (2 días a la semana)",0.4,E139="80% Teletrabajo (1 día a la semana)",0.2,E139="100% Teletrabajo",0)</f>
        <v>#NAME?</v>
      </c>
      <c r="I139" s="486" t="e">
        <f t="array" aca="1" ref="I139" ca="1">+_xludf.IFS(F139="Vehículo - Uso individual","Auto",F139="Vehículo - Uso compartido","Auto",F139="Transporte público/bus de acercamiento","Bus",F139="Moto","Moto",F139="Bicicleta o caminando","Bicicleta",F139="Ninguno, pues realicé 100% teletrabajo","No aplica",F139="Moto eléctrica","Moto eléctrica",F139="Vehículo eléctrico - Uso Individual","Vehículo eléctrico",F139="Vehículo eléctrico - Uso Compartido","Vehículo eléctrico")</f>
        <v>#NAME?</v>
      </c>
      <c r="J139" s="486">
        <v>1</v>
      </c>
      <c r="K139" s="1324" t="e">
        <f t="shared" ca="1" si="0"/>
        <v>#NAME?</v>
      </c>
      <c r="L139" s="1325">
        <f ca="1">+IFERROR(VLOOKUP(I139,'Factores Emisión EDGE'!$K$267:$L$272,2,0),0)</f>
        <v>0</v>
      </c>
      <c r="M139" s="1325" t="e">
        <f t="shared" ca="1" si="1"/>
        <v>#NAME?</v>
      </c>
      <c r="N139" s="486" t="s">
        <v>3056</v>
      </c>
      <c r="O139" s="1312"/>
      <c r="P139" s="1312"/>
    </row>
    <row r="140" spans="1:16" ht="15.75" customHeight="1">
      <c r="A140" s="1314">
        <v>44932.803000625005</v>
      </c>
      <c r="B140" s="1310" t="s">
        <v>3245</v>
      </c>
      <c r="C140" s="1310" t="s">
        <v>3246</v>
      </c>
      <c r="D140" s="1310" t="s">
        <v>3048</v>
      </c>
      <c r="E140" s="1310" t="s">
        <v>3066</v>
      </c>
      <c r="F140" s="1310" t="s">
        <v>1952</v>
      </c>
      <c r="G140" s="1326">
        <v>22</v>
      </c>
      <c r="H140" s="486" t="e">
        <f t="array" aca="1" ref="H140" ca="1">+_xludf.IFS(E140="100% Presencial",1, E140="20% Teletrabajo (4 días a la semana)",0.8,E140="40% Teletrabajo (3 días a la semana)",0.6,E140="60% Teletrabajo (2 días a la semana)",0.4,E140="80% Teletrabajo (1 día a la semana)",0.2,E140="100% Teletrabajo",0)</f>
        <v>#NAME?</v>
      </c>
      <c r="I140" s="486" t="e">
        <f t="array" aca="1" ref="I140" ca="1">+_xludf.IFS(F140="Vehículo - Uso individual","Auto",F140="Vehículo - Uso compartido","Auto",F140="Transporte público/bus de acercamiento","Bus",F140="Moto","Moto",F140="Bicicleta o caminando","Bicicleta",F140="Ninguno, pues realicé 100% teletrabajo","No aplica",F140="Moto eléctrica","Moto eléctrica",F140="Vehículo eléctrico - Uso Individual","Vehículo eléctrico",F140="Vehículo eléctrico - Uso Compartido","Vehículo eléctrico")</f>
        <v>#NAME?</v>
      </c>
      <c r="J140" s="486">
        <v>1</v>
      </c>
      <c r="K140" s="1324" t="e">
        <f t="shared" ca="1" si="0"/>
        <v>#NAME?</v>
      </c>
      <c r="L140" s="1325">
        <f ca="1">+IFERROR(VLOOKUP(I140,'Factores Emisión EDGE'!$K$267:$L$272,2,0),0)</f>
        <v>0</v>
      </c>
      <c r="M140" s="1325" t="e">
        <f t="shared" ca="1" si="1"/>
        <v>#NAME?</v>
      </c>
      <c r="N140" s="486" t="s">
        <v>3043</v>
      </c>
      <c r="O140" s="1312"/>
      <c r="P140" s="1312"/>
    </row>
    <row r="141" spans="1:16" ht="15.75" customHeight="1">
      <c r="A141" s="1314">
        <v>44939.390888888884</v>
      </c>
      <c r="B141" s="1310" t="s">
        <v>2539</v>
      </c>
      <c r="C141" s="1310" t="s">
        <v>2161</v>
      </c>
      <c r="D141" s="1310" t="s">
        <v>3048</v>
      </c>
      <c r="E141" s="1310" t="s">
        <v>3042</v>
      </c>
      <c r="F141" s="1310" t="s">
        <v>1952</v>
      </c>
      <c r="G141" s="1326">
        <v>22</v>
      </c>
      <c r="H141" s="486" t="e">
        <f t="array" aca="1" ref="H141" ca="1">+_xludf.IFS(E141="100% Presencial",1, E141="20% Teletrabajo (4 días a la semana)",0.8,E141="40% Teletrabajo (3 días a la semana)",0.6,E141="60% Teletrabajo (2 días a la semana)",0.4,E141="80% Teletrabajo (1 día a la semana)",0.2,E141="100% Teletrabajo",0)</f>
        <v>#NAME?</v>
      </c>
      <c r="I141" s="486" t="e">
        <f t="array" aca="1" ref="I141" ca="1">+_xludf.IFS(F141="Vehículo - Uso individual","Auto",F141="Vehículo - Uso compartido","Auto",F141="Transporte público/bus de acercamiento","Bus",F141="Moto","Moto",F141="Bicicleta o caminando","Bicicleta",F141="Ninguno, pues realicé 100% teletrabajo","No aplica",F141="Moto eléctrica","Moto eléctrica",F141="Vehículo eléctrico - Uso Individual","Vehículo eléctrico",F141="Vehículo eléctrico - Uso Compartido","Vehículo eléctrico")</f>
        <v>#NAME?</v>
      </c>
      <c r="J141" s="486">
        <v>1</v>
      </c>
      <c r="K141" s="1324" t="e">
        <f t="shared" ca="1" si="0"/>
        <v>#NAME?</v>
      </c>
      <c r="L141" s="1325">
        <f ca="1">+IFERROR(VLOOKUP(I141,'Factores Emisión EDGE'!$K$267:$L$272,2,0),0)</f>
        <v>0</v>
      </c>
      <c r="M141" s="1325" t="e">
        <f t="shared" ca="1" si="1"/>
        <v>#NAME?</v>
      </c>
      <c r="N141" s="486" t="s">
        <v>3043</v>
      </c>
      <c r="O141" s="1312"/>
      <c r="P141" s="1312"/>
    </row>
    <row r="142" spans="1:16" ht="15.75" customHeight="1">
      <c r="A142" s="1314">
        <v>44929.486015509261</v>
      </c>
      <c r="B142" s="1310" t="s">
        <v>3247</v>
      </c>
      <c r="C142" s="1310" t="s">
        <v>3248</v>
      </c>
      <c r="D142" s="1310" t="s">
        <v>3048</v>
      </c>
      <c r="E142" s="1310" t="s">
        <v>883</v>
      </c>
      <c r="F142" s="1310" t="s">
        <v>1952</v>
      </c>
      <c r="G142" s="1326">
        <v>22</v>
      </c>
      <c r="H142" s="486" t="e">
        <f t="array" aca="1" ref="H142" ca="1">+_xludf.IFS(E142="100% Presencial",1, E142="20% Teletrabajo (4 días a la semana)",0.8,E142="40% Teletrabajo (3 días a la semana)",0.6,E142="60% Teletrabajo (2 días a la semana)",0.4,E142="80% Teletrabajo (1 día a la semana)",0.2,E142="100% Teletrabajo",0)</f>
        <v>#NAME?</v>
      </c>
      <c r="I142" s="486" t="e">
        <f t="array" aca="1" ref="I142" ca="1">+_xludf.IFS(F142="Vehículo - Uso individual","Auto",F142="Vehículo - Uso compartido","Auto",F142="Transporte público/bus de acercamiento","Bus",F142="Moto","Moto",F142="Bicicleta o caminando","Bicicleta",F142="Ninguno, pues realicé 100% teletrabajo","No aplica",F142="Moto eléctrica","Moto eléctrica",F142="Vehículo eléctrico - Uso Individual","Vehículo eléctrico",F142="Vehículo eléctrico - Uso Compartido","Vehículo eléctrico")</f>
        <v>#NAME?</v>
      </c>
      <c r="J142" s="486">
        <v>1</v>
      </c>
      <c r="K142" s="1324" t="e">
        <f t="shared" ca="1" si="0"/>
        <v>#NAME?</v>
      </c>
      <c r="L142" s="1325">
        <f ca="1">+IFERROR(VLOOKUP(I142,'Factores Emisión EDGE'!$K$267:$L$272,2,0),0)</f>
        <v>0</v>
      </c>
      <c r="M142" s="1325" t="e">
        <f t="shared" ca="1" si="1"/>
        <v>#NAME?</v>
      </c>
      <c r="N142" s="486" t="s">
        <v>3043</v>
      </c>
      <c r="O142" s="1312"/>
      <c r="P142" s="1312"/>
    </row>
    <row r="143" spans="1:16" ht="15.75" customHeight="1">
      <c r="A143" s="1314">
        <v>44939.411965381943</v>
      </c>
      <c r="B143" s="1310" t="s">
        <v>3249</v>
      </c>
      <c r="C143" s="1310" t="s">
        <v>2526</v>
      </c>
      <c r="D143" s="1310" t="s">
        <v>3048</v>
      </c>
      <c r="E143" s="1310" t="s">
        <v>3042</v>
      </c>
      <c r="F143" s="1310" t="s">
        <v>3050</v>
      </c>
      <c r="G143" s="1326">
        <v>24</v>
      </c>
      <c r="H143" s="486" t="e">
        <f t="array" aca="1" ref="H143" ca="1">+_xludf.IFS(E143="100% Presencial",1, E143="20% Teletrabajo (4 días a la semana)",0.8,E143="40% Teletrabajo (3 días a la semana)",0.6,E143="60% Teletrabajo (2 días a la semana)",0.4,E143="80% Teletrabajo (1 día a la semana)",0.2,E143="100% Teletrabajo",0)</f>
        <v>#NAME?</v>
      </c>
      <c r="I143" s="486" t="e">
        <f t="array" aca="1" ref="I143" ca="1">+_xludf.IFS(F143="Vehículo - Uso individual","Auto",F143="Vehículo - Uso compartido","Auto",F143="Transporte público/bus de acercamiento","Bus",F143="Moto","Moto",F143="Bicicleta o caminando","Bicicleta",F143="Ninguno, pues realicé 100% teletrabajo","No aplica",F143="Moto eléctrica","Moto eléctrica",F143="Vehículo eléctrico - Uso Individual","Vehículo eléctrico",F143="Vehículo eléctrico - Uso Compartido","Vehículo eléctrico")</f>
        <v>#NAME?</v>
      </c>
      <c r="J143" s="486">
        <v>1</v>
      </c>
      <c r="K143" s="1324" t="e">
        <f t="shared" ca="1" si="0"/>
        <v>#NAME?</v>
      </c>
      <c r="L143" s="1325">
        <f ca="1">+IFERROR(VLOOKUP(I143,'Factores Emisión EDGE'!$K$267:$L$272,2,0),0)</f>
        <v>0</v>
      </c>
      <c r="M143" s="1325" t="e">
        <f t="shared" ca="1" si="1"/>
        <v>#NAME?</v>
      </c>
      <c r="N143" s="486" t="s">
        <v>3043</v>
      </c>
      <c r="O143" s="1312"/>
      <c r="P143" s="1312"/>
    </row>
    <row r="144" spans="1:16" ht="15.75" customHeight="1">
      <c r="A144" s="1314">
        <v>44937.380798113431</v>
      </c>
      <c r="B144" s="1310" t="s">
        <v>3250</v>
      </c>
      <c r="C144" s="1310" t="s">
        <v>2676</v>
      </c>
      <c r="D144" s="1310" t="s">
        <v>3048</v>
      </c>
      <c r="E144" s="1310" t="s">
        <v>3049</v>
      </c>
      <c r="F144" s="1310" t="s">
        <v>3050</v>
      </c>
      <c r="G144" s="1326">
        <v>23.5</v>
      </c>
      <c r="H144" s="486" t="e">
        <f t="array" aca="1" ref="H144" ca="1">+_xludf.IFS(E144="100% Presencial",1, E144="20% Teletrabajo (4 días a la semana)",0.8,E144="40% Teletrabajo (3 días a la semana)",0.6,E144="60% Teletrabajo (2 días a la semana)",0.4,E144="80% Teletrabajo (1 día a la semana)",0.2,E144="100% Teletrabajo",0)</f>
        <v>#NAME?</v>
      </c>
      <c r="I144" s="486" t="e">
        <f t="array" aca="1" ref="I144" ca="1">+_xludf.IFS(F144="Vehículo - Uso individual","Auto",F144="Vehículo - Uso compartido","Auto",F144="Transporte público/bus de acercamiento","Bus",F144="Moto","Moto",F144="Bicicleta o caminando","Bicicleta",F144="Ninguno, pues realicé 100% teletrabajo","No aplica",F144="Moto eléctrica","Moto eléctrica",F144="Vehículo eléctrico - Uso Individual","Vehículo eléctrico",F144="Vehículo eléctrico - Uso Compartido","Vehículo eléctrico")</f>
        <v>#NAME?</v>
      </c>
      <c r="J144" s="486">
        <v>1</v>
      </c>
      <c r="K144" s="1324" t="e">
        <f t="shared" ca="1" si="0"/>
        <v>#NAME?</v>
      </c>
      <c r="L144" s="1325">
        <f ca="1">+IFERROR(VLOOKUP(I144,'Factores Emisión EDGE'!$K$267:$L$272,2,0),0)</f>
        <v>0</v>
      </c>
      <c r="M144" s="1325" t="e">
        <f t="shared" ca="1" si="1"/>
        <v>#NAME?</v>
      </c>
      <c r="N144" s="486" t="s">
        <v>3043</v>
      </c>
      <c r="O144" s="1312"/>
      <c r="P144" s="1312"/>
    </row>
    <row r="145" spans="1:16" ht="15.75" customHeight="1">
      <c r="A145" s="1314">
        <v>44929.487151053239</v>
      </c>
      <c r="B145" s="1310" t="s">
        <v>3251</v>
      </c>
      <c r="C145" s="1310" t="s">
        <v>3252</v>
      </c>
      <c r="E145" s="1310" t="s">
        <v>3066</v>
      </c>
      <c r="F145" s="1310" t="s">
        <v>1952</v>
      </c>
      <c r="G145" s="1326">
        <v>22</v>
      </c>
      <c r="H145" s="486" t="e">
        <f t="array" aca="1" ref="H145" ca="1">+_xludf.IFS(E145="100% Presencial",1, E145="20% Teletrabajo (4 días a la semana)",0.8,E145="40% Teletrabajo (3 días a la semana)",0.6,E145="60% Teletrabajo (2 días a la semana)",0.4,E145="80% Teletrabajo (1 día a la semana)",0.2,E145="100% Teletrabajo",0)</f>
        <v>#NAME?</v>
      </c>
      <c r="I145" s="486" t="e">
        <f t="array" aca="1" ref="I145" ca="1">+_xludf.IFS(F145="Vehículo - Uso individual","Auto",F145="Vehículo - Uso compartido","Auto",F145="Transporte público/bus de acercamiento","Bus",F145="Moto","Moto",F145="Bicicleta o caminando","Bicicleta",F145="Ninguno, pues realicé 100% teletrabajo","No aplica",F145="Moto eléctrica","Moto eléctrica",F145="Vehículo eléctrico - Uso Individual","Vehículo eléctrico",F145="Vehículo eléctrico - Uso Compartido","Vehículo eléctrico")</f>
        <v>#NAME?</v>
      </c>
      <c r="J145" s="486">
        <v>1</v>
      </c>
      <c r="K145" s="1324" t="e">
        <f t="shared" ca="1" si="0"/>
        <v>#NAME?</v>
      </c>
      <c r="L145" s="1325">
        <f ca="1">+IFERROR(VLOOKUP(I145,'Factores Emisión EDGE'!$K$267:$L$272,2,0),0)</f>
        <v>0</v>
      </c>
      <c r="M145" s="1325" t="e">
        <f t="shared" ca="1" si="1"/>
        <v>#NAME?</v>
      </c>
      <c r="N145" s="486" t="s">
        <v>3043</v>
      </c>
      <c r="O145" s="1312"/>
      <c r="P145" s="1312"/>
    </row>
    <row r="146" spans="1:16" ht="15.75" customHeight="1">
      <c r="A146" s="1314">
        <v>44929.639022800926</v>
      </c>
      <c r="B146" s="1310" t="s">
        <v>3253</v>
      </c>
      <c r="C146" s="1310" t="s">
        <v>3254</v>
      </c>
      <c r="D146" s="1310" t="s">
        <v>3048</v>
      </c>
      <c r="E146" s="1310" t="s">
        <v>883</v>
      </c>
      <c r="F146" s="1310" t="s">
        <v>1952</v>
      </c>
      <c r="G146" s="1326">
        <v>22</v>
      </c>
      <c r="H146" s="486" t="e">
        <f t="array" aca="1" ref="H146" ca="1">+_xludf.IFS(E146="100% Presencial",1, E146="20% Teletrabajo (4 días a la semana)",0.8,E146="40% Teletrabajo (3 días a la semana)",0.6,E146="60% Teletrabajo (2 días a la semana)",0.4,E146="80% Teletrabajo (1 día a la semana)",0.2,E146="100% Teletrabajo",0)</f>
        <v>#NAME?</v>
      </c>
      <c r="I146" s="486" t="e">
        <f t="array" aca="1" ref="I146" ca="1">+_xludf.IFS(F146="Vehículo - Uso individual","Auto",F146="Vehículo - Uso compartido","Auto",F146="Transporte público/bus de acercamiento","Bus",F146="Moto","Moto",F146="Bicicleta o caminando","Bicicleta",F146="Ninguno, pues realicé 100% teletrabajo","No aplica",F146="Moto eléctrica","Moto eléctrica",F146="Vehículo eléctrico - Uso Individual","Vehículo eléctrico",F146="Vehículo eléctrico - Uso Compartido","Vehículo eléctrico")</f>
        <v>#NAME?</v>
      </c>
      <c r="J146" s="486">
        <v>1</v>
      </c>
      <c r="K146" s="1324" t="e">
        <f t="shared" ca="1" si="0"/>
        <v>#NAME?</v>
      </c>
      <c r="L146" s="1325">
        <f ca="1">+IFERROR(VLOOKUP(I146,'Factores Emisión EDGE'!$K$267:$L$272,2,0),0)</f>
        <v>0</v>
      </c>
      <c r="M146" s="1325" t="e">
        <f t="shared" ca="1" si="1"/>
        <v>#NAME?</v>
      </c>
      <c r="N146" s="486" t="s">
        <v>3043</v>
      </c>
      <c r="O146" s="1312"/>
      <c r="P146" s="1312"/>
    </row>
    <row r="147" spans="1:16" ht="15.75" customHeight="1">
      <c r="A147" s="1314">
        <v>44939.377215891203</v>
      </c>
      <c r="B147" s="1310" t="s">
        <v>3255</v>
      </c>
      <c r="C147" s="1310" t="s">
        <v>3256</v>
      </c>
      <c r="D147" s="1310" t="s">
        <v>3048</v>
      </c>
      <c r="E147" s="1310" t="s">
        <v>883</v>
      </c>
      <c r="F147" s="1310" t="s">
        <v>1952</v>
      </c>
      <c r="G147" s="1326">
        <v>22</v>
      </c>
      <c r="H147" s="486" t="e">
        <f t="array" aca="1" ref="H147" ca="1">+_xludf.IFS(E147="100% Presencial",1, E147="20% Teletrabajo (4 días a la semana)",0.8,E147="40% Teletrabajo (3 días a la semana)",0.6,E147="60% Teletrabajo (2 días a la semana)",0.4,E147="80% Teletrabajo (1 día a la semana)",0.2,E147="100% Teletrabajo",0)</f>
        <v>#NAME?</v>
      </c>
      <c r="I147" s="486" t="e">
        <f t="array" aca="1" ref="I147" ca="1">+_xludf.IFS(F147="Vehículo - Uso individual","Auto",F147="Vehículo - Uso compartido","Auto",F147="Transporte público/bus de acercamiento","Bus",F147="Moto","Moto",F147="Bicicleta o caminando","Bicicleta",F147="Ninguno, pues realicé 100% teletrabajo","No aplica",F147="Moto eléctrica","Moto eléctrica",F147="Vehículo eléctrico - Uso Individual","Vehículo eléctrico",F147="Vehículo eléctrico - Uso Compartido","Vehículo eléctrico")</f>
        <v>#NAME?</v>
      </c>
      <c r="J147" s="486">
        <v>1</v>
      </c>
      <c r="K147" s="1324" t="e">
        <f t="shared" ca="1" si="0"/>
        <v>#NAME?</v>
      </c>
      <c r="L147" s="1325">
        <f ca="1">+IFERROR(VLOOKUP(I147,'Factores Emisión EDGE'!$K$267:$L$272,2,0),0)</f>
        <v>0</v>
      </c>
      <c r="M147" s="1325" t="e">
        <f t="shared" ca="1" si="1"/>
        <v>#NAME?</v>
      </c>
      <c r="N147" s="486" t="s">
        <v>3043</v>
      </c>
      <c r="O147" s="1312"/>
      <c r="P147" s="1312"/>
    </row>
    <row r="148" spans="1:16" ht="15.75" customHeight="1">
      <c r="A148" s="1314">
        <v>44939.377998668977</v>
      </c>
      <c r="B148" s="1310" t="s">
        <v>3257</v>
      </c>
      <c r="C148" s="1310" t="s">
        <v>3258</v>
      </c>
      <c r="D148" s="1310" t="s">
        <v>3048</v>
      </c>
      <c r="E148" s="1310" t="s">
        <v>3066</v>
      </c>
      <c r="F148" s="1310" t="s">
        <v>3055</v>
      </c>
      <c r="G148" s="1326">
        <v>22</v>
      </c>
      <c r="H148" s="486" t="e">
        <f t="array" aca="1" ref="H148" ca="1">+_xludf.IFS(E148="100% Presencial",1, E148="20% Teletrabajo (4 días a la semana)",0.8,E148="40% Teletrabajo (3 días a la semana)",0.6,E148="60% Teletrabajo (2 días a la semana)",0.4,E148="80% Teletrabajo (1 día a la semana)",0.2,E148="100% Teletrabajo",0)</f>
        <v>#NAME?</v>
      </c>
      <c r="I148" s="486" t="e">
        <f t="array" aca="1" ref="I148" ca="1">+_xludf.IFS(F148="Vehículo - Uso individual","Auto",F148="Vehículo - Uso compartido","Auto",F148="Transporte público/bus de acercamiento","Bus",F148="Moto","Moto",F148="Bicicleta o caminando","Bicicleta",F148="Ninguno, pues realicé 100% teletrabajo","No aplica",F148="Moto eléctrica","Moto eléctrica",F148="Vehículo eléctrico - Uso Individual","Vehículo eléctrico",F148="Vehículo eléctrico - Uso Compartido","Vehículo eléctrico")</f>
        <v>#NAME?</v>
      </c>
      <c r="J148" s="486">
        <v>1</v>
      </c>
      <c r="K148" s="1324" t="e">
        <f t="shared" ca="1" si="0"/>
        <v>#NAME?</v>
      </c>
      <c r="L148" s="1325">
        <f ca="1">+IFERROR(VLOOKUP(I148,'Factores Emisión EDGE'!$K$267:$L$272,2,0),0)</f>
        <v>0</v>
      </c>
      <c r="M148" s="1325" t="e">
        <f t="shared" ca="1" si="1"/>
        <v>#NAME?</v>
      </c>
      <c r="N148" s="486" t="s">
        <v>3043</v>
      </c>
      <c r="O148" s="1312"/>
      <c r="P148" s="1312"/>
    </row>
    <row r="149" spans="1:16" ht="15.75" customHeight="1">
      <c r="A149" s="1314">
        <v>44939.392390520836</v>
      </c>
      <c r="B149" s="1310" t="s">
        <v>3259</v>
      </c>
      <c r="C149" s="1310" t="s">
        <v>3260</v>
      </c>
      <c r="D149" s="1310" t="s">
        <v>3048</v>
      </c>
      <c r="E149" s="1310" t="s">
        <v>885</v>
      </c>
      <c r="F149" s="1310" t="s">
        <v>1995</v>
      </c>
      <c r="G149" s="1326">
        <v>22</v>
      </c>
      <c r="H149" s="486" t="e">
        <f t="array" aca="1" ref="H149" ca="1">+_xludf.IFS(E149="100% Presencial",1, E149="20% Teletrabajo (4 días a la semana)",0.8,E149="40% Teletrabajo (3 días a la semana)",0.6,E149="60% Teletrabajo (2 días a la semana)",0.4,E149="80% Teletrabajo (1 día a la semana)",0.2,E149="100% Teletrabajo",0)</f>
        <v>#NAME?</v>
      </c>
      <c r="I149" s="486" t="e">
        <f t="array" aca="1" ref="I149" ca="1">+_xludf.IFS(F149="Vehículo - Uso individual","Auto",F149="Vehículo - Uso compartido","Auto",F149="Transporte público/bus de acercamiento","Bus",F149="Moto","Moto",F149="Bicicleta o caminando","Bicicleta",F149="Ninguno, pues realicé 100% teletrabajo","No aplica",F149="Moto eléctrica","Moto eléctrica",F149="Vehículo eléctrico - Uso Individual","Vehículo eléctrico",F149="Vehículo eléctrico - Uso Compartido","Vehículo eléctrico")</f>
        <v>#NAME?</v>
      </c>
      <c r="J149" s="486">
        <v>0.25</v>
      </c>
      <c r="K149" s="1324" t="e">
        <f t="shared" ca="1" si="0"/>
        <v>#NAME?</v>
      </c>
      <c r="L149" s="1325">
        <f ca="1">+IFERROR(VLOOKUP(I149,'Factores Emisión EDGE'!$K$267:$L$272,2,0),0)</f>
        <v>0</v>
      </c>
      <c r="M149" s="1325" t="e">
        <f t="shared" ca="1" si="1"/>
        <v>#NAME?</v>
      </c>
      <c r="N149" s="486" t="s">
        <v>3043</v>
      </c>
      <c r="O149" s="1312"/>
      <c r="P149" s="1312"/>
    </row>
    <row r="150" spans="1:16" ht="15.75" customHeight="1">
      <c r="A150" s="1314">
        <v>44929.532904884254</v>
      </c>
      <c r="B150" s="1310" t="s">
        <v>3261</v>
      </c>
      <c r="C150" s="1310" t="s">
        <v>3262</v>
      </c>
      <c r="D150" s="1310" t="s">
        <v>3048</v>
      </c>
      <c r="E150" s="1310" t="s">
        <v>3066</v>
      </c>
      <c r="F150" s="1310" t="s">
        <v>1952</v>
      </c>
      <c r="G150" s="1326">
        <v>21</v>
      </c>
      <c r="H150" s="486" t="e">
        <f t="array" aca="1" ref="H150" ca="1">+_xludf.IFS(E150="100% Presencial",1, E150="20% Teletrabajo (4 días a la semana)",0.8,E150="40% Teletrabajo (3 días a la semana)",0.6,E150="60% Teletrabajo (2 días a la semana)",0.4,E150="80% Teletrabajo (1 día a la semana)",0.2,E150="100% Teletrabajo",0)</f>
        <v>#NAME?</v>
      </c>
      <c r="I150" s="486" t="e">
        <f t="array" aca="1" ref="I150" ca="1">+_xludf.IFS(F150="Vehículo - Uso individual","Auto",F150="Vehículo - Uso compartido","Auto",F150="Transporte público/bus de acercamiento","Bus",F150="Moto","Moto",F150="Bicicleta o caminando","Bicicleta",F150="Ninguno, pues realicé 100% teletrabajo","No aplica",F150="Moto eléctrica","Moto eléctrica",F150="Vehículo eléctrico - Uso Individual","Vehículo eléctrico",F150="Vehículo eléctrico - Uso Compartido","Vehículo eléctrico")</f>
        <v>#NAME?</v>
      </c>
      <c r="J150" s="486">
        <v>1</v>
      </c>
      <c r="K150" s="1324" t="e">
        <f t="shared" ca="1" si="0"/>
        <v>#NAME?</v>
      </c>
      <c r="L150" s="1325">
        <f ca="1">+IFERROR(VLOOKUP(I150,'Factores Emisión EDGE'!$K$267:$L$272,2,0),0)</f>
        <v>0</v>
      </c>
      <c r="M150" s="1325" t="e">
        <f t="shared" ca="1" si="1"/>
        <v>#NAME?</v>
      </c>
      <c r="N150" s="486" t="s">
        <v>3043</v>
      </c>
      <c r="O150" s="1312"/>
      <c r="P150" s="1312"/>
    </row>
    <row r="151" spans="1:16" ht="15.75" customHeight="1">
      <c r="A151" s="1314">
        <v>44939.439440104165</v>
      </c>
      <c r="B151" s="1310" t="s">
        <v>3263</v>
      </c>
      <c r="C151" s="1310" t="s">
        <v>3264</v>
      </c>
      <c r="D151" s="1310" t="s">
        <v>3265</v>
      </c>
      <c r="E151" s="1310" t="s">
        <v>3042</v>
      </c>
      <c r="F151" s="1310" t="s">
        <v>1952</v>
      </c>
      <c r="G151" s="1326">
        <v>21</v>
      </c>
      <c r="H151" s="486" t="e">
        <f t="array" aca="1" ref="H151" ca="1">+_xludf.IFS(E151="100% Presencial",1, E151="20% Teletrabajo (4 días a la semana)",0.8,E151="40% Teletrabajo (3 días a la semana)",0.6,E151="60% Teletrabajo (2 días a la semana)",0.4,E151="80% Teletrabajo (1 día a la semana)",0.2,E151="100% Teletrabajo",0)</f>
        <v>#NAME?</v>
      </c>
      <c r="I151" s="486" t="e">
        <f t="array" aca="1" ref="I151" ca="1">+_xludf.IFS(F151="Vehículo - Uso individual","Auto",F151="Vehículo - Uso compartido","Auto",F151="Transporte público/bus de acercamiento","Bus",F151="Moto","Moto",F151="Bicicleta o caminando","Bicicleta",F151="Ninguno, pues realicé 100% teletrabajo","No aplica",F151="Moto eléctrica","Moto eléctrica",F151="Vehículo eléctrico - Uso Individual","Vehículo eléctrico",F151="Vehículo eléctrico - Uso Compartido","Vehículo eléctrico")</f>
        <v>#NAME?</v>
      </c>
      <c r="J151" s="486">
        <v>1</v>
      </c>
      <c r="K151" s="1324" t="e">
        <f t="shared" ca="1" si="0"/>
        <v>#NAME?</v>
      </c>
      <c r="L151" s="1325">
        <f ca="1">+IFERROR(VLOOKUP(I151,'Factores Emisión EDGE'!$K$267:$L$272,2,0),0)</f>
        <v>0</v>
      </c>
      <c r="M151" s="1325" t="e">
        <f t="shared" ca="1" si="1"/>
        <v>#NAME?</v>
      </c>
      <c r="N151" s="486" t="s">
        <v>3043</v>
      </c>
      <c r="O151" s="1312"/>
      <c r="P151" s="1312"/>
    </row>
    <row r="152" spans="1:16" ht="15.75" customHeight="1">
      <c r="A152" s="1314">
        <v>44939.653343715283</v>
      </c>
      <c r="B152" s="1310" t="s">
        <v>2401</v>
      </c>
      <c r="C152" s="1310" t="s">
        <v>2402</v>
      </c>
      <c r="D152" s="1310" t="s">
        <v>3048</v>
      </c>
      <c r="E152" s="1310" t="s">
        <v>3066</v>
      </c>
      <c r="F152" s="1310" t="s">
        <v>3055</v>
      </c>
      <c r="G152" s="1326">
        <v>21</v>
      </c>
      <c r="H152" s="486" t="e">
        <f t="array" aca="1" ref="H152" ca="1">+_xludf.IFS(E152="100% Presencial",1, E152="20% Teletrabajo (4 días a la semana)",0.8,E152="40% Teletrabajo (3 días a la semana)",0.6,E152="60% Teletrabajo (2 días a la semana)",0.4,E152="80% Teletrabajo (1 día a la semana)",0.2,E152="100% Teletrabajo",0)</f>
        <v>#NAME?</v>
      </c>
      <c r="I152" s="486" t="e">
        <f t="array" aca="1" ref="I152" ca="1">+_xludf.IFS(F152="Vehículo - Uso individual","Auto",F152="Vehículo - Uso compartido","Auto",F152="Transporte público/bus de acercamiento","Bus",F152="Moto","Moto",F152="Bicicleta o caminando","Bicicleta",F152="Ninguno, pues realicé 100% teletrabajo","No aplica",F152="Moto eléctrica","Moto eléctrica",F152="Vehículo eléctrico - Uso Individual","Vehículo eléctrico",F152="Vehículo eléctrico - Uso Compartido","Vehículo eléctrico")</f>
        <v>#NAME?</v>
      </c>
      <c r="J152" s="486">
        <v>1</v>
      </c>
      <c r="K152" s="1324" t="e">
        <f t="shared" ca="1" si="0"/>
        <v>#NAME?</v>
      </c>
      <c r="L152" s="1325">
        <f ca="1">+IFERROR(VLOOKUP(I152,'Factores Emisión EDGE'!$K$267:$L$272,2,0),0)</f>
        <v>0</v>
      </c>
      <c r="M152" s="1325" t="e">
        <f t="shared" ca="1" si="1"/>
        <v>#NAME?</v>
      </c>
      <c r="N152" s="486" t="s">
        <v>3043</v>
      </c>
      <c r="O152" s="1312"/>
      <c r="P152" s="1312"/>
    </row>
    <row r="153" spans="1:16" ht="15.75" customHeight="1">
      <c r="A153" s="1314">
        <v>44929.48432668981</v>
      </c>
      <c r="B153" s="1310" t="s">
        <v>3266</v>
      </c>
      <c r="C153" s="1310" t="s">
        <v>3267</v>
      </c>
      <c r="D153" s="1310" t="s">
        <v>3048</v>
      </c>
      <c r="E153" s="1310" t="s">
        <v>881</v>
      </c>
      <c r="F153" s="1310" t="s">
        <v>1952</v>
      </c>
      <c r="G153" s="1326">
        <v>21</v>
      </c>
      <c r="H153" s="486" t="e">
        <f t="array" aca="1" ref="H153" ca="1">+_xludf.IFS(E153="100% Presencial",1, E153="20% Teletrabajo (4 días a la semana)",0.8,E153="40% Teletrabajo (3 días a la semana)",0.6,E153="60% Teletrabajo (2 días a la semana)",0.4,E153="80% Teletrabajo (1 día a la semana)",0.2,E153="100% Teletrabajo",0)</f>
        <v>#NAME?</v>
      </c>
      <c r="I153" s="486" t="e">
        <f t="array" aca="1" ref="I153" ca="1">+_xludf.IFS(F153="Vehículo - Uso individual","Auto",F153="Vehículo - Uso compartido","Auto",F153="Transporte público/bus de acercamiento","Bus",F153="Moto","Moto",F153="Bicicleta o caminando","Bicicleta",F153="Ninguno, pues realicé 100% teletrabajo","No aplica",F153="Moto eléctrica","Moto eléctrica",F153="Vehículo eléctrico - Uso Individual","Vehículo eléctrico",F153="Vehículo eléctrico - Uso Compartido","Vehículo eléctrico")</f>
        <v>#NAME?</v>
      </c>
      <c r="J153" s="486">
        <v>1</v>
      </c>
      <c r="K153" s="1324" t="e">
        <f t="shared" ca="1" si="0"/>
        <v>#NAME?</v>
      </c>
      <c r="L153" s="1325">
        <f ca="1">+IFERROR(VLOOKUP(I153,'Factores Emisión EDGE'!$K$267:$L$272,2,0),0)</f>
        <v>0</v>
      </c>
      <c r="M153" s="1325" t="e">
        <f t="shared" ca="1" si="1"/>
        <v>#NAME?</v>
      </c>
      <c r="N153" s="486" t="s">
        <v>3043</v>
      </c>
      <c r="O153" s="1312"/>
      <c r="P153" s="1312"/>
    </row>
    <row r="154" spans="1:16" ht="15.75" customHeight="1">
      <c r="A154" s="1314">
        <v>44929.486959942129</v>
      </c>
      <c r="B154" s="1310" t="s">
        <v>2284</v>
      </c>
      <c r="C154" s="1310" t="s">
        <v>2285</v>
      </c>
      <c r="D154" s="1310" t="s">
        <v>3048</v>
      </c>
      <c r="E154" s="1310" t="s">
        <v>3066</v>
      </c>
      <c r="F154" s="1310" t="s">
        <v>1952</v>
      </c>
      <c r="G154" s="1326">
        <v>21</v>
      </c>
      <c r="H154" s="486" t="e">
        <f t="array" aca="1" ref="H154" ca="1">+_xludf.IFS(E154="100% Presencial",1, E154="20% Teletrabajo (4 días a la semana)",0.8,E154="40% Teletrabajo (3 días a la semana)",0.6,E154="60% Teletrabajo (2 días a la semana)",0.4,E154="80% Teletrabajo (1 día a la semana)",0.2,E154="100% Teletrabajo",0)</f>
        <v>#NAME?</v>
      </c>
      <c r="I154" s="486" t="e">
        <f t="array" aca="1" ref="I154" ca="1">+_xludf.IFS(F154="Vehículo - Uso individual","Auto",F154="Vehículo - Uso compartido","Auto",F154="Transporte público/bus de acercamiento","Bus",F154="Moto","Moto",F154="Bicicleta o caminando","Bicicleta",F154="Ninguno, pues realicé 100% teletrabajo","No aplica",F154="Moto eléctrica","Moto eléctrica",F154="Vehículo eléctrico - Uso Individual","Vehículo eléctrico",F154="Vehículo eléctrico - Uso Compartido","Vehículo eléctrico")</f>
        <v>#NAME?</v>
      </c>
      <c r="J154" s="486">
        <v>1</v>
      </c>
      <c r="K154" s="1324" t="e">
        <f t="shared" ca="1" si="0"/>
        <v>#NAME?</v>
      </c>
      <c r="L154" s="1325">
        <f ca="1">+IFERROR(VLOOKUP(I154,'Factores Emisión EDGE'!$K$267:$L$272,2,0),0)</f>
        <v>0</v>
      </c>
      <c r="M154" s="1325" t="e">
        <f t="shared" ca="1" si="1"/>
        <v>#NAME?</v>
      </c>
      <c r="N154" s="486" t="s">
        <v>3043</v>
      </c>
      <c r="O154" s="1312"/>
      <c r="P154" s="1312"/>
    </row>
    <row r="155" spans="1:16" ht="15.75" customHeight="1">
      <c r="A155" s="1314">
        <v>44935.603583125005</v>
      </c>
      <c r="B155" s="1310" t="s">
        <v>3268</v>
      </c>
      <c r="C155" s="1310" t="s">
        <v>3269</v>
      </c>
      <c r="D155" s="1310" t="s">
        <v>3048</v>
      </c>
      <c r="E155" s="1310" t="s">
        <v>3042</v>
      </c>
      <c r="F155" s="1310" t="s">
        <v>3055</v>
      </c>
      <c r="G155" s="1326">
        <v>21</v>
      </c>
      <c r="H155" s="486" t="e">
        <f t="array" aca="1" ref="H155" ca="1">+_xludf.IFS(E155="100% Presencial",1, E155="20% Teletrabajo (4 días a la semana)",0.8,E155="40% Teletrabajo (3 días a la semana)",0.6,E155="60% Teletrabajo (2 días a la semana)",0.4,E155="80% Teletrabajo (1 día a la semana)",0.2,E155="100% Teletrabajo",0)</f>
        <v>#NAME?</v>
      </c>
      <c r="I155" s="486" t="e">
        <f t="array" aca="1" ref="I155" ca="1">+_xludf.IFS(F155="Vehículo - Uso individual","Auto",F155="Vehículo - Uso compartido","Auto",F155="Transporte público/bus de acercamiento","Bus",F155="Moto","Moto",F155="Bicicleta o caminando","Bicicleta",F155="Ninguno, pues realicé 100% teletrabajo","No aplica",F155="Moto eléctrica","Moto eléctrica",F155="Vehículo eléctrico - Uso Individual","Vehículo eléctrico",F155="Vehículo eléctrico - Uso Compartido","Vehículo eléctrico")</f>
        <v>#NAME?</v>
      </c>
      <c r="J155" s="486">
        <v>1</v>
      </c>
      <c r="K155" s="1324" t="e">
        <f t="shared" ca="1" si="0"/>
        <v>#NAME?</v>
      </c>
      <c r="L155" s="1325">
        <f ca="1">+IFERROR(VLOOKUP(I155,'Factores Emisión EDGE'!$K$267:$L$272,2,0),0)</f>
        <v>0</v>
      </c>
      <c r="M155" s="1325" t="e">
        <f t="shared" ca="1" si="1"/>
        <v>#NAME?</v>
      </c>
      <c r="N155" s="486" t="s">
        <v>3056</v>
      </c>
      <c r="O155" s="1312"/>
      <c r="P155" s="1312"/>
    </row>
    <row r="156" spans="1:16" ht="15.75" customHeight="1">
      <c r="A156" s="1314">
        <v>44929.583080081022</v>
      </c>
      <c r="B156" s="1310" t="s">
        <v>3270</v>
      </c>
      <c r="C156" s="1310" t="s">
        <v>3271</v>
      </c>
      <c r="D156" s="1310" t="s">
        <v>3048</v>
      </c>
      <c r="E156" s="1310" t="s">
        <v>3066</v>
      </c>
      <c r="F156" s="1310" t="s">
        <v>3055</v>
      </c>
      <c r="G156" s="1326">
        <v>20.2</v>
      </c>
      <c r="H156" s="486" t="e">
        <f t="array" aca="1" ref="H156" ca="1">+_xludf.IFS(E156="100% Presencial",1, E156="20% Teletrabajo (4 días a la semana)",0.8,E156="40% Teletrabajo (3 días a la semana)",0.6,E156="60% Teletrabajo (2 días a la semana)",0.4,E156="80% Teletrabajo (1 día a la semana)",0.2,E156="100% Teletrabajo",0)</f>
        <v>#NAME?</v>
      </c>
      <c r="I156" s="486" t="e">
        <f t="array" aca="1" ref="I156" ca="1">+_xludf.IFS(F156="Vehículo - Uso individual","Auto",F156="Vehículo - Uso compartido","Auto",F156="Transporte público/bus de acercamiento","Bus",F156="Moto","Moto",F156="Bicicleta o caminando","Bicicleta",F156="Ninguno, pues realicé 100% teletrabajo","No aplica",F156="Moto eléctrica","Moto eléctrica",F156="Vehículo eléctrico - Uso Individual","Vehículo eléctrico",F156="Vehículo eléctrico - Uso Compartido","Vehículo eléctrico")</f>
        <v>#NAME?</v>
      </c>
      <c r="J156" s="486">
        <v>1</v>
      </c>
      <c r="K156" s="1324" t="e">
        <f t="shared" ca="1" si="0"/>
        <v>#NAME?</v>
      </c>
      <c r="L156" s="1325">
        <f ca="1">+IFERROR(VLOOKUP(I156,'Factores Emisión EDGE'!$K$267:$L$272,2,0),0)</f>
        <v>0</v>
      </c>
      <c r="M156" s="1325" t="e">
        <f t="shared" ca="1" si="1"/>
        <v>#NAME?</v>
      </c>
      <c r="N156" s="486" t="s">
        <v>3043</v>
      </c>
      <c r="O156" s="1312"/>
      <c r="P156" s="1312"/>
    </row>
    <row r="157" spans="1:16" ht="15.75" customHeight="1">
      <c r="A157" s="1314">
        <v>44929.544201122684</v>
      </c>
      <c r="B157" s="1310" t="s">
        <v>3272</v>
      </c>
      <c r="C157" s="1310" t="s">
        <v>3114</v>
      </c>
      <c r="D157" s="1310" t="s">
        <v>3080</v>
      </c>
      <c r="E157" s="1310" t="s">
        <v>3042</v>
      </c>
      <c r="F157" s="1310" t="s">
        <v>1952</v>
      </c>
      <c r="G157" s="1326">
        <v>20</v>
      </c>
      <c r="H157" s="486" t="e">
        <f t="array" aca="1" ref="H157" ca="1">+_xludf.IFS(E157="100% Presencial",1, E157="20% Teletrabajo (4 días a la semana)",0.8,E157="40% Teletrabajo (3 días a la semana)",0.6,E157="60% Teletrabajo (2 días a la semana)",0.4,E157="80% Teletrabajo (1 día a la semana)",0.2,E157="100% Teletrabajo",0)</f>
        <v>#NAME?</v>
      </c>
      <c r="I157" s="486" t="e">
        <f t="array" aca="1" ref="I157" ca="1">+_xludf.IFS(F157="Vehículo - Uso individual","Auto",F157="Vehículo - Uso compartido","Auto",F157="Transporte público/bus de acercamiento","Bus",F157="Moto","Moto",F157="Bicicleta o caminando","Bicicleta",F157="Ninguno, pues realicé 100% teletrabajo","No aplica",F157="Moto eléctrica","Moto eléctrica",F157="Vehículo eléctrico - Uso Individual","Vehículo eléctrico",F157="Vehículo eléctrico - Uso Compartido","Vehículo eléctrico")</f>
        <v>#NAME?</v>
      </c>
      <c r="J157" s="486">
        <v>1</v>
      </c>
      <c r="K157" s="1324" t="e">
        <f t="shared" ca="1" si="0"/>
        <v>#NAME?</v>
      </c>
      <c r="L157" s="1325">
        <f ca="1">+IFERROR(VLOOKUP(I157,'Factores Emisión EDGE'!$K$267:$L$272,2,0),0)</f>
        <v>0</v>
      </c>
      <c r="M157" s="1325" t="e">
        <f t="shared" ca="1" si="1"/>
        <v>#NAME?</v>
      </c>
      <c r="N157" s="486" t="s">
        <v>3043</v>
      </c>
      <c r="O157" s="1312"/>
      <c r="P157" s="1312"/>
    </row>
    <row r="158" spans="1:16" ht="15.75" customHeight="1">
      <c r="A158" s="1314">
        <v>44930.562048449079</v>
      </c>
      <c r="B158" s="1310" t="s">
        <v>3273</v>
      </c>
      <c r="C158" s="1310" t="s">
        <v>3274</v>
      </c>
      <c r="D158" s="1310" t="s">
        <v>3107</v>
      </c>
      <c r="E158" s="1310" t="s">
        <v>881</v>
      </c>
      <c r="F158" s="1310" t="s">
        <v>3055</v>
      </c>
      <c r="G158" s="1326">
        <v>20</v>
      </c>
      <c r="H158" s="486" t="e">
        <f t="array" aca="1" ref="H158" ca="1">+_xludf.IFS(E158="100% Presencial",1, E158="20% Teletrabajo (4 días a la semana)",0.8,E158="40% Teletrabajo (3 días a la semana)",0.6,E158="60% Teletrabajo (2 días a la semana)",0.4,E158="80% Teletrabajo (1 día a la semana)",0.2,E158="100% Teletrabajo",0)</f>
        <v>#NAME?</v>
      </c>
      <c r="I158" s="486" t="e">
        <f t="array" aca="1" ref="I158" ca="1">+_xludf.IFS(F158="Vehículo - Uso individual","Auto",F158="Vehículo - Uso compartido","Auto",F158="Transporte público/bus de acercamiento","Bus",F158="Moto","Moto",F158="Bicicleta o caminando","Bicicleta",F158="Ninguno, pues realicé 100% teletrabajo","No aplica",F158="Moto eléctrica","Moto eléctrica",F158="Vehículo eléctrico - Uso Individual","Vehículo eléctrico",F158="Vehículo eléctrico - Uso Compartido","Vehículo eléctrico")</f>
        <v>#NAME?</v>
      </c>
      <c r="J158" s="486">
        <v>1</v>
      </c>
      <c r="K158" s="1324" t="e">
        <f t="shared" ca="1" si="0"/>
        <v>#NAME?</v>
      </c>
      <c r="L158" s="1325">
        <f ca="1">+IFERROR(VLOOKUP(I158,'Factores Emisión EDGE'!$K$267:$L$272,2,0),0)</f>
        <v>0</v>
      </c>
      <c r="M158" s="1325" t="e">
        <f t="shared" ca="1" si="1"/>
        <v>#NAME?</v>
      </c>
      <c r="N158" s="486" t="s">
        <v>3056</v>
      </c>
      <c r="O158" s="1312"/>
      <c r="P158" s="1312"/>
    </row>
    <row r="159" spans="1:16" ht="15.75" customHeight="1">
      <c r="A159" s="1314">
        <v>44930.577044467587</v>
      </c>
      <c r="B159" s="1310" t="s">
        <v>3275</v>
      </c>
      <c r="C159" s="1310" t="s">
        <v>3276</v>
      </c>
      <c r="D159" s="1310" t="s">
        <v>3048</v>
      </c>
      <c r="E159" s="1310" t="s">
        <v>3049</v>
      </c>
      <c r="F159" s="1310" t="s">
        <v>3050</v>
      </c>
      <c r="G159" s="1326">
        <v>0</v>
      </c>
      <c r="H159" s="486" t="e">
        <f t="array" aca="1" ref="H159" ca="1">+_xludf.IFS(E159="100% Presencial",1, E159="20% Teletrabajo (4 días a la semana)",0.8,E159="40% Teletrabajo (3 días a la semana)",0.6,E159="60% Teletrabajo (2 días a la semana)",0.4,E159="80% Teletrabajo (1 día a la semana)",0.2,E159="100% Teletrabajo",0)</f>
        <v>#NAME?</v>
      </c>
      <c r="I159" s="486" t="e">
        <f t="array" aca="1" ref="I159" ca="1">+_xludf.IFS(F159="Vehículo - Uso individual","Auto",F159="Vehículo - Uso compartido","Auto",F159="Transporte público/bus de acercamiento","Bus",F159="Moto","Moto",F159="Bicicleta o caminando","Bicicleta",F159="Ninguno, pues realicé 100% teletrabajo","No aplica",F159="Moto eléctrica","Moto eléctrica",F159="Vehículo eléctrico - Uso Individual","Vehículo eléctrico",F159="Vehículo eléctrico - Uso Compartido","Vehículo eléctrico")</f>
        <v>#NAME?</v>
      </c>
      <c r="J159" s="486">
        <v>1</v>
      </c>
      <c r="K159" s="1324" t="e">
        <f t="shared" ca="1" si="0"/>
        <v>#NAME?</v>
      </c>
      <c r="L159" s="1325">
        <f ca="1">+IFERROR(VLOOKUP(I159,'Factores Emisión EDGE'!$K$267:$L$272,2,0),0)</f>
        <v>0</v>
      </c>
      <c r="M159" s="1325" t="e">
        <f t="shared" ca="1" si="1"/>
        <v>#NAME?</v>
      </c>
      <c r="N159" s="486" t="s">
        <v>3043</v>
      </c>
      <c r="O159" s="1312"/>
      <c r="P159" s="1312"/>
    </row>
    <row r="160" spans="1:16" ht="15.75" customHeight="1">
      <c r="A160" s="1314">
        <v>44930.497094432867</v>
      </c>
      <c r="B160" s="1310" t="s">
        <v>3277</v>
      </c>
      <c r="C160" s="1310" t="s">
        <v>2884</v>
      </c>
      <c r="D160" s="1310" t="s">
        <v>3140</v>
      </c>
      <c r="E160" s="1310" t="s">
        <v>3042</v>
      </c>
      <c r="F160" s="1310" t="s">
        <v>1952</v>
      </c>
      <c r="G160" s="1326">
        <v>20</v>
      </c>
      <c r="H160" s="486" t="e">
        <f t="array" aca="1" ref="H160" ca="1">+_xludf.IFS(E160="100% Presencial",1, E160="20% Teletrabajo (4 días a la semana)",0.8,E160="40% Teletrabajo (3 días a la semana)",0.6,E160="60% Teletrabajo (2 días a la semana)",0.4,E160="80% Teletrabajo (1 día a la semana)",0.2,E160="100% Teletrabajo",0)</f>
        <v>#NAME?</v>
      </c>
      <c r="I160" s="486" t="e">
        <f t="array" aca="1" ref="I160" ca="1">+_xludf.IFS(F160="Vehículo - Uso individual","Auto",F160="Vehículo - Uso compartido","Auto",F160="Transporte público/bus de acercamiento","Bus",F160="Moto","Moto",F160="Bicicleta o caminando","Bicicleta",F160="Ninguno, pues realicé 100% teletrabajo","No aplica",F160="Moto eléctrica","Moto eléctrica",F160="Vehículo eléctrico - Uso Individual","Vehículo eléctrico",F160="Vehículo eléctrico - Uso Compartido","Vehículo eléctrico")</f>
        <v>#NAME?</v>
      </c>
      <c r="J160" s="486">
        <v>1</v>
      </c>
      <c r="K160" s="1324" t="e">
        <f t="shared" ca="1" si="0"/>
        <v>#NAME?</v>
      </c>
      <c r="L160" s="1325">
        <f ca="1">+IFERROR(VLOOKUP(I160,'Factores Emisión EDGE'!$K$267:$L$272,2,0),0)</f>
        <v>0</v>
      </c>
      <c r="M160" s="1325" t="e">
        <f t="shared" ca="1" si="1"/>
        <v>#NAME?</v>
      </c>
      <c r="N160" s="486" t="s">
        <v>3056</v>
      </c>
      <c r="O160" s="1312"/>
      <c r="P160" s="1312"/>
    </row>
    <row r="161" spans="1:16" ht="15.75" customHeight="1">
      <c r="A161" s="1314">
        <v>44939.714937951387</v>
      </c>
      <c r="B161" s="1310" t="s">
        <v>3278</v>
      </c>
      <c r="C161" s="1310" t="s">
        <v>3279</v>
      </c>
      <c r="D161" s="1310" t="s">
        <v>3048</v>
      </c>
      <c r="E161" s="1310" t="s">
        <v>883</v>
      </c>
      <c r="F161" s="1310" t="s">
        <v>1952</v>
      </c>
      <c r="G161" s="1326">
        <v>20</v>
      </c>
      <c r="H161" s="486" t="e">
        <f t="array" aca="1" ref="H161" ca="1">+_xludf.IFS(E161="100% Presencial",1, E161="20% Teletrabajo (4 días a la semana)",0.8,E161="40% Teletrabajo (3 días a la semana)",0.6,E161="60% Teletrabajo (2 días a la semana)",0.4,E161="80% Teletrabajo (1 día a la semana)",0.2,E161="100% Teletrabajo",0)</f>
        <v>#NAME?</v>
      </c>
      <c r="I161" s="486" t="e">
        <f t="array" aca="1" ref="I161" ca="1">+_xludf.IFS(F161="Vehículo - Uso individual","Auto",F161="Vehículo - Uso compartido","Auto",F161="Transporte público/bus de acercamiento","Bus",F161="Moto","Moto",F161="Bicicleta o caminando","Bicicleta",F161="Ninguno, pues realicé 100% teletrabajo","No aplica",F161="Moto eléctrica","Moto eléctrica",F161="Vehículo eléctrico - Uso Individual","Vehículo eléctrico",F161="Vehículo eléctrico - Uso Compartido","Vehículo eléctrico")</f>
        <v>#NAME?</v>
      </c>
      <c r="J161" s="486">
        <v>1</v>
      </c>
      <c r="K161" s="1324" t="e">
        <f t="shared" ca="1" si="0"/>
        <v>#NAME?</v>
      </c>
      <c r="L161" s="1325">
        <f ca="1">+IFERROR(VLOOKUP(I161,'Factores Emisión EDGE'!$K$267:$L$272,2,0),0)</f>
        <v>0</v>
      </c>
      <c r="M161" s="1325" t="e">
        <f t="shared" ca="1" si="1"/>
        <v>#NAME?</v>
      </c>
      <c r="N161" s="486" t="s">
        <v>3043</v>
      </c>
      <c r="O161" s="1312"/>
      <c r="P161" s="1312"/>
    </row>
    <row r="162" spans="1:16" ht="15.75" customHeight="1">
      <c r="A162" s="1314">
        <v>44929.4815833912</v>
      </c>
      <c r="B162" s="1310" t="s">
        <v>3280</v>
      </c>
      <c r="C162" s="1310" t="s">
        <v>2112</v>
      </c>
      <c r="D162" s="1310" t="s">
        <v>3060</v>
      </c>
      <c r="E162" s="1310" t="s">
        <v>3042</v>
      </c>
      <c r="F162" s="1310" t="s">
        <v>1952</v>
      </c>
      <c r="G162" s="1326">
        <v>20</v>
      </c>
      <c r="H162" s="486" t="e">
        <f t="array" aca="1" ref="H162" ca="1">+_xludf.IFS(E162="100% Presencial",1, E162="20% Teletrabajo (4 días a la semana)",0.8,E162="40% Teletrabajo (3 días a la semana)",0.6,E162="60% Teletrabajo (2 días a la semana)",0.4,E162="80% Teletrabajo (1 día a la semana)",0.2,E162="100% Teletrabajo",0)</f>
        <v>#NAME?</v>
      </c>
      <c r="I162" s="486" t="e">
        <f t="array" aca="1" ref="I162" ca="1">+_xludf.IFS(F162="Vehículo - Uso individual","Auto",F162="Vehículo - Uso compartido","Auto",F162="Transporte público/bus de acercamiento","Bus",F162="Moto","Moto",F162="Bicicleta o caminando","Bicicleta",F162="Ninguno, pues realicé 100% teletrabajo","No aplica",F162="Moto eléctrica","Moto eléctrica",F162="Vehículo eléctrico - Uso Individual","Vehículo eléctrico",F162="Vehículo eléctrico - Uso Compartido","Vehículo eléctrico")</f>
        <v>#NAME?</v>
      </c>
      <c r="J162" s="486">
        <v>1</v>
      </c>
      <c r="K162" s="1324" t="e">
        <f t="shared" ca="1" si="0"/>
        <v>#NAME?</v>
      </c>
      <c r="L162" s="1325">
        <f ca="1">+IFERROR(VLOOKUP(I162,'Factores Emisión EDGE'!$K$267:$L$272,2,0),0)</f>
        <v>0</v>
      </c>
      <c r="M162" s="1325" t="e">
        <f t="shared" ca="1" si="1"/>
        <v>#NAME?</v>
      </c>
      <c r="N162" s="486" t="s">
        <v>3043</v>
      </c>
      <c r="O162" s="1312"/>
      <c r="P162" s="1312"/>
    </row>
    <row r="163" spans="1:16" ht="15.75" customHeight="1">
      <c r="A163" s="1314">
        <v>44929.499894490742</v>
      </c>
      <c r="B163" s="1310" t="s">
        <v>3281</v>
      </c>
      <c r="C163" s="1310" t="s">
        <v>2394</v>
      </c>
      <c r="D163" s="1310" t="s">
        <v>3048</v>
      </c>
      <c r="E163" s="1310" t="s">
        <v>885</v>
      </c>
      <c r="F163" s="1310" t="s">
        <v>3055</v>
      </c>
      <c r="G163" s="1326">
        <v>20</v>
      </c>
      <c r="H163" s="486" t="e">
        <f t="array" aca="1" ref="H163" ca="1">+_xludf.IFS(E163="100% Presencial",1, E163="20% Teletrabajo (4 días a la semana)",0.8,E163="40% Teletrabajo (3 días a la semana)",0.6,E163="60% Teletrabajo (2 días a la semana)",0.4,E163="80% Teletrabajo (1 día a la semana)",0.2,E163="100% Teletrabajo",0)</f>
        <v>#NAME?</v>
      </c>
      <c r="I163" s="486" t="e">
        <f t="array" aca="1" ref="I163" ca="1">+_xludf.IFS(F163="Vehículo - Uso individual","Auto",F163="Vehículo - Uso compartido","Auto",F163="Transporte público/bus de acercamiento","Bus",F163="Moto","Moto",F163="Bicicleta o caminando","Bicicleta",F163="Ninguno, pues realicé 100% teletrabajo","No aplica",F163="Moto eléctrica","Moto eléctrica",F163="Vehículo eléctrico - Uso Individual","Vehículo eléctrico",F163="Vehículo eléctrico - Uso Compartido","Vehículo eléctrico")</f>
        <v>#NAME?</v>
      </c>
      <c r="J163" s="486">
        <v>1</v>
      </c>
      <c r="K163" s="1324" t="e">
        <f t="shared" ca="1" si="0"/>
        <v>#NAME?</v>
      </c>
      <c r="L163" s="1325">
        <f ca="1">+IFERROR(VLOOKUP(I163,'Factores Emisión EDGE'!$K$267:$L$272,2,0),0)</f>
        <v>0</v>
      </c>
      <c r="M163" s="1325" t="e">
        <f t="shared" ca="1" si="1"/>
        <v>#NAME?</v>
      </c>
      <c r="N163" s="486" t="s">
        <v>3043</v>
      </c>
      <c r="O163" s="1312"/>
      <c r="P163" s="1312"/>
    </row>
    <row r="164" spans="1:16" ht="15.75" customHeight="1">
      <c r="A164" s="1314">
        <v>44929.519982847225</v>
      </c>
      <c r="B164" s="1310" t="s">
        <v>3282</v>
      </c>
      <c r="C164" s="1310" t="s">
        <v>2468</v>
      </c>
      <c r="D164" s="1310" t="s">
        <v>3048</v>
      </c>
      <c r="E164" s="1310" t="s">
        <v>885</v>
      </c>
      <c r="F164" s="1310" t="s">
        <v>1952</v>
      </c>
      <c r="G164" s="1326">
        <v>20</v>
      </c>
      <c r="H164" s="486" t="e">
        <f t="array" aca="1" ref="H164" ca="1">+_xludf.IFS(E164="100% Presencial",1, E164="20% Teletrabajo (4 días a la semana)",0.8,E164="40% Teletrabajo (3 días a la semana)",0.6,E164="60% Teletrabajo (2 días a la semana)",0.4,E164="80% Teletrabajo (1 día a la semana)",0.2,E164="100% Teletrabajo",0)</f>
        <v>#NAME?</v>
      </c>
      <c r="I164" s="486" t="e">
        <f t="array" aca="1" ref="I164" ca="1">+_xludf.IFS(F164="Vehículo - Uso individual","Auto",F164="Vehículo - Uso compartido","Auto",F164="Transporte público/bus de acercamiento","Bus",F164="Moto","Moto",F164="Bicicleta o caminando","Bicicleta",F164="Ninguno, pues realicé 100% teletrabajo","No aplica",F164="Moto eléctrica","Moto eléctrica",F164="Vehículo eléctrico - Uso Individual","Vehículo eléctrico",F164="Vehículo eléctrico - Uso Compartido","Vehículo eléctrico")</f>
        <v>#NAME?</v>
      </c>
      <c r="J164" s="486">
        <v>1</v>
      </c>
      <c r="K164" s="1324" t="e">
        <f t="shared" ca="1" si="0"/>
        <v>#NAME?</v>
      </c>
      <c r="L164" s="1325">
        <f ca="1">+IFERROR(VLOOKUP(I164,'Factores Emisión EDGE'!$K$267:$L$272,2,0),0)</f>
        <v>0</v>
      </c>
      <c r="M164" s="1325" t="e">
        <f t="shared" ca="1" si="1"/>
        <v>#NAME?</v>
      </c>
      <c r="N164" s="486" t="s">
        <v>3043</v>
      </c>
      <c r="O164" s="1312"/>
      <c r="P164" s="1312"/>
    </row>
    <row r="165" spans="1:16" ht="15.75" customHeight="1">
      <c r="A165" s="1314">
        <v>44930.640800462963</v>
      </c>
      <c r="B165" s="1310" t="s">
        <v>3283</v>
      </c>
      <c r="C165" s="1310" t="s">
        <v>3284</v>
      </c>
      <c r="D165" s="1310" t="s">
        <v>3285</v>
      </c>
      <c r="E165" s="1310" t="s">
        <v>3042</v>
      </c>
      <c r="F165" s="1310" t="s">
        <v>1983</v>
      </c>
      <c r="G165" s="1326">
        <v>20</v>
      </c>
      <c r="H165" s="486" t="e">
        <f t="array" aca="1" ref="H165" ca="1">+_xludf.IFS(E165="100% Presencial",1, E165="20% Teletrabajo (4 días a la semana)",0.8,E165="40% Teletrabajo (3 días a la semana)",0.6,E165="60% Teletrabajo (2 días a la semana)",0.4,E165="80% Teletrabajo (1 día a la semana)",0.2,E165="100% Teletrabajo",0)</f>
        <v>#NAME?</v>
      </c>
      <c r="I165" s="486" t="e">
        <f t="array" aca="1" ref="I165" ca="1">+_xludf.IFS(F165="Vehículo - Uso individual","Auto",F165="Vehículo - Uso compartido","Auto",F165="Transporte público/bus de acercamiento","Bus",F165="Moto","Moto",F165="Bicicleta o caminando","Bicicleta",F165="Ninguno, pues realicé 100% teletrabajo","No aplica",F165="Moto eléctrica","Moto eléctrica",F165="Vehículo eléctrico - Uso Individual","Vehículo eléctrico",F165="Vehículo eléctrico - Uso Compartido","Vehículo eléctrico")</f>
        <v>#NAME?</v>
      </c>
      <c r="J165" s="486">
        <v>1</v>
      </c>
      <c r="K165" s="1324" t="e">
        <f t="shared" ca="1" si="0"/>
        <v>#NAME?</v>
      </c>
      <c r="L165" s="1325">
        <f ca="1">+IFERROR(VLOOKUP(I165,'Factores Emisión EDGE'!$K$267:$L$272,2,0),0)</f>
        <v>0</v>
      </c>
      <c r="M165" s="1325" t="e">
        <f t="shared" ca="1" si="1"/>
        <v>#NAME?</v>
      </c>
      <c r="N165" s="486" t="s">
        <v>3056</v>
      </c>
      <c r="O165" s="1312"/>
      <c r="P165" s="1312"/>
    </row>
    <row r="166" spans="1:16" ht="15.75" customHeight="1">
      <c r="A166" s="1314">
        <v>44938.399900671298</v>
      </c>
      <c r="B166" s="1310" t="s">
        <v>3286</v>
      </c>
      <c r="C166" s="1310" t="s">
        <v>3287</v>
      </c>
      <c r="D166" s="1310" t="s">
        <v>3048</v>
      </c>
      <c r="E166" s="1310" t="s">
        <v>883</v>
      </c>
      <c r="F166" s="1310" t="s">
        <v>1952</v>
      </c>
      <c r="G166" s="1326">
        <v>20</v>
      </c>
      <c r="H166" s="486" t="e">
        <f t="array" aca="1" ref="H166" ca="1">+_xludf.IFS(E166="100% Presencial",1, E166="20% Teletrabajo (4 días a la semana)",0.8,E166="40% Teletrabajo (3 días a la semana)",0.6,E166="60% Teletrabajo (2 días a la semana)",0.4,E166="80% Teletrabajo (1 día a la semana)",0.2,E166="100% Teletrabajo",0)</f>
        <v>#NAME?</v>
      </c>
      <c r="I166" s="486" t="e">
        <f t="array" aca="1" ref="I166" ca="1">+_xludf.IFS(F166="Vehículo - Uso individual","Auto",F166="Vehículo - Uso compartido","Auto",F166="Transporte público/bus de acercamiento","Bus",F166="Moto","Moto",F166="Bicicleta o caminando","Bicicleta",F166="Ninguno, pues realicé 100% teletrabajo","No aplica",F166="Moto eléctrica","Moto eléctrica",F166="Vehículo eléctrico - Uso Individual","Vehículo eléctrico",F166="Vehículo eléctrico - Uso Compartido","Vehículo eléctrico")</f>
        <v>#NAME?</v>
      </c>
      <c r="J166" s="486">
        <v>1</v>
      </c>
      <c r="K166" s="1324" t="e">
        <f t="shared" ca="1" si="0"/>
        <v>#NAME?</v>
      </c>
      <c r="L166" s="1325">
        <f ca="1">+IFERROR(VLOOKUP(I166,'Factores Emisión EDGE'!$K$267:$L$272,2,0),0)</f>
        <v>0</v>
      </c>
      <c r="M166" s="1325" t="e">
        <f t="shared" ca="1" si="1"/>
        <v>#NAME?</v>
      </c>
      <c r="N166" s="486" t="s">
        <v>3043</v>
      </c>
      <c r="O166" s="1312"/>
      <c r="P166" s="1312"/>
    </row>
    <row r="167" spans="1:16" ht="15.75" customHeight="1">
      <c r="A167" s="1314">
        <v>44938.658434803241</v>
      </c>
      <c r="B167" s="1310" t="s">
        <v>3288</v>
      </c>
      <c r="C167" s="1310" t="s">
        <v>2848</v>
      </c>
      <c r="D167" s="1310" t="s">
        <v>3133</v>
      </c>
      <c r="E167" s="1310" t="s">
        <v>3042</v>
      </c>
      <c r="F167" s="1310" t="s">
        <v>1995</v>
      </c>
      <c r="G167" s="1326">
        <v>20</v>
      </c>
      <c r="H167" s="486" t="e">
        <f t="array" aca="1" ref="H167" ca="1">+_xludf.IFS(E167="100% Presencial",1, E167="20% Teletrabajo (4 días a la semana)",0.8,E167="40% Teletrabajo (3 días a la semana)",0.6,E167="60% Teletrabajo (2 días a la semana)",0.4,E167="80% Teletrabajo (1 día a la semana)",0.2,E167="100% Teletrabajo",0)</f>
        <v>#NAME?</v>
      </c>
      <c r="I167" s="486" t="e">
        <f t="array" aca="1" ref="I167" ca="1">+_xludf.IFS(F167="Vehículo - Uso individual","Auto",F167="Vehículo - Uso compartido","Auto",F167="Transporte público/bus de acercamiento","Bus",F167="Moto","Moto",F167="Bicicleta o caminando","Bicicleta",F167="Ninguno, pues realicé 100% teletrabajo","No aplica",F167="Moto eléctrica","Moto eléctrica",F167="Vehículo eléctrico - Uso Individual","Vehículo eléctrico",F167="Vehículo eléctrico - Uso Compartido","Vehículo eléctrico")</f>
        <v>#NAME?</v>
      </c>
      <c r="J167" s="486">
        <v>0.25</v>
      </c>
      <c r="K167" s="1324" t="e">
        <f t="shared" ca="1" si="0"/>
        <v>#NAME?</v>
      </c>
      <c r="L167" s="1325">
        <f ca="1">+IFERROR(VLOOKUP(I167,'Factores Emisión EDGE'!$K$267:$L$272,2,0),0)</f>
        <v>0</v>
      </c>
      <c r="M167" s="1325" t="e">
        <f t="shared" ca="1" si="1"/>
        <v>#NAME?</v>
      </c>
      <c r="N167" s="486" t="s">
        <v>3056</v>
      </c>
      <c r="O167" s="1312"/>
      <c r="P167" s="1312"/>
    </row>
    <row r="168" spans="1:16" ht="15.75" customHeight="1">
      <c r="A168" s="1314">
        <v>44939.376927847217</v>
      </c>
      <c r="B168" s="1310" t="s">
        <v>3289</v>
      </c>
      <c r="C168" s="1310" t="s">
        <v>2802</v>
      </c>
      <c r="D168" s="1310" t="s">
        <v>3048</v>
      </c>
      <c r="E168" s="1310" t="s">
        <v>883</v>
      </c>
      <c r="F168" s="1310" t="s">
        <v>1952</v>
      </c>
      <c r="G168" s="1326">
        <v>20</v>
      </c>
      <c r="H168" s="486" t="e">
        <f t="array" aca="1" ref="H168" ca="1">+_xludf.IFS(E168="100% Presencial",1, E168="20% Teletrabajo (4 días a la semana)",0.8,E168="40% Teletrabajo (3 días a la semana)",0.6,E168="60% Teletrabajo (2 días a la semana)",0.4,E168="80% Teletrabajo (1 día a la semana)",0.2,E168="100% Teletrabajo",0)</f>
        <v>#NAME?</v>
      </c>
      <c r="I168" s="486" t="e">
        <f t="array" aca="1" ref="I168" ca="1">+_xludf.IFS(F168="Vehículo - Uso individual","Auto",F168="Vehículo - Uso compartido","Auto",F168="Transporte público/bus de acercamiento","Bus",F168="Moto","Moto",F168="Bicicleta o caminando","Bicicleta",F168="Ninguno, pues realicé 100% teletrabajo","No aplica",F168="Moto eléctrica","Moto eléctrica",F168="Vehículo eléctrico - Uso Individual","Vehículo eléctrico",F168="Vehículo eléctrico - Uso Compartido","Vehículo eléctrico")</f>
        <v>#NAME?</v>
      </c>
      <c r="J168" s="486">
        <v>1</v>
      </c>
      <c r="K168" s="1324" t="e">
        <f t="shared" ca="1" si="0"/>
        <v>#NAME?</v>
      </c>
      <c r="L168" s="1325">
        <f ca="1">+IFERROR(VLOOKUP(I168,'Factores Emisión EDGE'!$K$267:$L$272,2,0),0)</f>
        <v>0</v>
      </c>
      <c r="M168" s="1325" t="e">
        <f t="shared" ca="1" si="1"/>
        <v>#NAME?</v>
      </c>
      <c r="N168" s="486" t="s">
        <v>3043</v>
      </c>
      <c r="O168" s="1312"/>
      <c r="P168" s="1312"/>
    </row>
    <row r="169" spans="1:16" ht="15.75" customHeight="1">
      <c r="A169" s="1314">
        <v>44939.504835868051</v>
      </c>
      <c r="B169" s="1310" t="s">
        <v>3290</v>
      </c>
      <c r="C169" s="1310" t="s">
        <v>3291</v>
      </c>
      <c r="D169" s="1310" t="s">
        <v>3292</v>
      </c>
      <c r="E169" s="1310" t="s">
        <v>3042</v>
      </c>
      <c r="F169" s="1310" t="s">
        <v>1983</v>
      </c>
      <c r="G169" s="1326">
        <v>20</v>
      </c>
      <c r="H169" s="486" t="e">
        <f t="array" aca="1" ref="H169" ca="1">+_xludf.IFS(E169="100% Presencial",1, E169="20% Teletrabajo (4 días a la semana)",0.8,E169="40% Teletrabajo (3 días a la semana)",0.6,E169="60% Teletrabajo (2 días a la semana)",0.4,E169="80% Teletrabajo (1 día a la semana)",0.2,E169="100% Teletrabajo",0)</f>
        <v>#NAME?</v>
      </c>
      <c r="I169" s="486" t="e">
        <f t="array" aca="1" ref="I169" ca="1">+_xludf.IFS(F169="Vehículo - Uso individual","Auto",F169="Vehículo - Uso compartido","Auto",F169="Transporte público/bus de acercamiento","Bus",F169="Moto","Moto",F169="Bicicleta o caminando","Bicicleta",F169="Ninguno, pues realicé 100% teletrabajo","No aplica",F169="Moto eléctrica","Moto eléctrica",F169="Vehículo eléctrico - Uso Individual","Vehículo eléctrico",F169="Vehículo eléctrico - Uso Compartido","Vehículo eléctrico")</f>
        <v>#NAME?</v>
      </c>
      <c r="J169" s="486">
        <v>1</v>
      </c>
      <c r="K169" s="1324" t="e">
        <f t="shared" ca="1" si="0"/>
        <v>#NAME?</v>
      </c>
      <c r="L169" s="1325">
        <f ca="1">+IFERROR(VLOOKUP(I169,'Factores Emisión EDGE'!$K$267:$L$272,2,0),0)</f>
        <v>0</v>
      </c>
      <c r="M169" s="1325" t="e">
        <f t="shared" ca="1" si="1"/>
        <v>#NAME?</v>
      </c>
      <c r="N169" s="486" t="s">
        <v>3043</v>
      </c>
      <c r="O169" s="1312"/>
      <c r="P169" s="1312"/>
    </row>
    <row r="170" spans="1:16" ht="15.75" customHeight="1">
      <c r="A170" s="1314">
        <v>44938.646932164353</v>
      </c>
      <c r="B170" s="1310" t="s">
        <v>3293</v>
      </c>
      <c r="C170" s="1310" t="s">
        <v>3294</v>
      </c>
      <c r="D170" s="1310" t="s">
        <v>3054</v>
      </c>
      <c r="E170" s="1310" t="s">
        <v>3042</v>
      </c>
      <c r="F170" s="1310" t="s">
        <v>1952</v>
      </c>
      <c r="G170" s="1326">
        <v>20</v>
      </c>
      <c r="H170" s="486" t="e">
        <f t="array" aca="1" ref="H170" ca="1">+_xludf.IFS(E170="100% Presencial",1, E170="20% Teletrabajo (4 días a la semana)",0.8,E170="40% Teletrabajo (3 días a la semana)",0.6,E170="60% Teletrabajo (2 días a la semana)",0.4,E170="80% Teletrabajo (1 día a la semana)",0.2,E170="100% Teletrabajo",0)</f>
        <v>#NAME?</v>
      </c>
      <c r="I170" s="486" t="e">
        <f t="array" aca="1" ref="I170" ca="1">+_xludf.IFS(F170="Vehículo - Uso individual","Auto",F170="Vehículo - Uso compartido","Auto",F170="Transporte público/bus de acercamiento","Bus",F170="Moto","Moto",F170="Bicicleta o caminando","Bicicleta",F170="Ninguno, pues realicé 100% teletrabajo","No aplica",F170="Moto eléctrica","Moto eléctrica",F170="Vehículo eléctrico - Uso Individual","Vehículo eléctrico",F170="Vehículo eléctrico - Uso Compartido","Vehículo eléctrico")</f>
        <v>#NAME?</v>
      </c>
      <c r="J170" s="486">
        <v>1</v>
      </c>
      <c r="K170" s="1324" t="e">
        <f t="shared" ca="1" si="0"/>
        <v>#NAME?</v>
      </c>
      <c r="L170" s="1325">
        <f ca="1">+IFERROR(VLOOKUP(I170,'Factores Emisión EDGE'!$K$267:$L$272,2,0),0)</f>
        <v>0</v>
      </c>
      <c r="M170" s="1325" t="e">
        <f t="shared" ca="1" si="1"/>
        <v>#NAME?</v>
      </c>
      <c r="N170" s="486" t="s">
        <v>3056</v>
      </c>
      <c r="O170" s="1312"/>
      <c r="P170" s="1312"/>
    </row>
    <row r="171" spans="1:16" ht="15.75" customHeight="1">
      <c r="A171" s="1314">
        <v>44930.712714618057</v>
      </c>
      <c r="B171" s="1310" t="s">
        <v>3295</v>
      </c>
      <c r="C171" s="1310" t="s">
        <v>3296</v>
      </c>
      <c r="D171" s="1310" t="s">
        <v>3107</v>
      </c>
      <c r="E171" s="1310" t="s">
        <v>3042</v>
      </c>
      <c r="F171" s="1310" t="s">
        <v>1995</v>
      </c>
      <c r="G171" s="1326">
        <v>20</v>
      </c>
      <c r="H171" s="486" t="e">
        <f t="array" aca="1" ref="H171" ca="1">+_xludf.IFS(E171="100% Presencial",1, E171="20% Teletrabajo (4 días a la semana)",0.8,E171="40% Teletrabajo (3 días a la semana)",0.6,E171="60% Teletrabajo (2 días a la semana)",0.4,E171="80% Teletrabajo (1 día a la semana)",0.2,E171="100% Teletrabajo",0)</f>
        <v>#NAME?</v>
      </c>
      <c r="I171" s="486" t="e">
        <f t="array" aca="1" ref="I171" ca="1">+_xludf.IFS(F171="Vehículo - Uso individual","Auto",F171="Vehículo - Uso compartido","Auto",F171="Transporte público/bus de acercamiento","Bus",F171="Moto","Moto",F171="Bicicleta o caminando","Bicicleta",F171="Ninguno, pues realicé 100% teletrabajo","No aplica",F171="Moto eléctrica","Moto eléctrica",F171="Vehículo eléctrico - Uso Individual","Vehículo eléctrico",F171="Vehículo eléctrico - Uso Compartido","Vehículo eléctrico")</f>
        <v>#NAME?</v>
      </c>
      <c r="J171" s="486">
        <v>0.25</v>
      </c>
      <c r="K171" s="1324" t="e">
        <f t="shared" ca="1" si="0"/>
        <v>#NAME?</v>
      </c>
      <c r="L171" s="1325">
        <f ca="1">+IFERROR(VLOOKUP(I171,'Factores Emisión EDGE'!$K$267:$L$272,2,0),0)</f>
        <v>0</v>
      </c>
      <c r="M171" s="1325" t="e">
        <f t="shared" ca="1" si="1"/>
        <v>#NAME?</v>
      </c>
      <c r="N171" s="486" t="s">
        <v>3056</v>
      </c>
      <c r="O171" s="1312"/>
      <c r="P171" s="1312"/>
    </row>
    <row r="172" spans="1:16" ht="15.75" customHeight="1">
      <c r="A172" s="1314">
        <v>44929.492105335652</v>
      </c>
      <c r="B172" s="1310" t="s">
        <v>2413</v>
      </c>
      <c r="C172" s="1310" t="s">
        <v>2414</v>
      </c>
      <c r="D172" s="1310" t="s">
        <v>3048</v>
      </c>
      <c r="E172" s="1310" t="s">
        <v>885</v>
      </c>
      <c r="F172" s="1310" t="s">
        <v>3055</v>
      </c>
      <c r="G172" s="1326">
        <v>20</v>
      </c>
      <c r="H172" s="486" t="e">
        <f t="array" aca="1" ref="H172" ca="1">+_xludf.IFS(E172="100% Presencial",1, E172="20% Teletrabajo (4 días a la semana)",0.8,E172="40% Teletrabajo (3 días a la semana)",0.6,E172="60% Teletrabajo (2 días a la semana)",0.4,E172="80% Teletrabajo (1 día a la semana)",0.2,E172="100% Teletrabajo",0)</f>
        <v>#NAME?</v>
      </c>
      <c r="I172" s="486" t="e">
        <f t="array" aca="1" ref="I172" ca="1">+_xludf.IFS(F172="Vehículo - Uso individual","Auto",F172="Vehículo - Uso compartido","Auto",F172="Transporte público/bus de acercamiento","Bus",F172="Moto","Moto",F172="Bicicleta o caminando","Bicicleta",F172="Ninguno, pues realicé 100% teletrabajo","No aplica",F172="Moto eléctrica","Moto eléctrica",F172="Vehículo eléctrico - Uso Individual","Vehículo eléctrico",F172="Vehículo eléctrico - Uso Compartido","Vehículo eléctrico")</f>
        <v>#NAME?</v>
      </c>
      <c r="J172" s="486">
        <v>1</v>
      </c>
      <c r="K172" s="1324" t="e">
        <f t="shared" ca="1" si="0"/>
        <v>#NAME?</v>
      </c>
      <c r="L172" s="1325">
        <f ca="1">+IFERROR(VLOOKUP(I172,'Factores Emisión EDGE'!$K$267:$L$272,2,0),0)</f>
        <v>0</v>
      </c>
      <c r="M172" s="1325" t="e">
        <f t="shared" ca="1" si="1"/>
        <v>#NAME?</v>
      </c>
      <c r="N172" s="486" t="s">
        <v>3043</v>
      </c>
      <c r="O172" s="1312"/>
      <c r="P172" s="1312"/>
    </row>
    <row r="173" spans="1:16" ht="15.75" customHeight="1">
      <c r="A173" s="1314">
        <v>44938.54912236111</v>
      </c>
      <c r="B173" s="1310" t="s">
        <v>3297</v>
      </c>
      <c r="C173" s="1310" t="s">
        <v>3298</v>
      </c>
      <c r="D173" s="1310" t="s">
        <v>3054</v>
      </c>
      <c r="E173" s="1310" t="s">
        <v>3042</v>
      </c>
      <c r="F173" s="1310" t="s">
        <v>3055</v>
      </c>
      <c r="G173" s="1326">
        <v>20</v>
      </c>
      <c r="H173" s="486" t="e">
        <f t="array" aca="1" ref="H173" ca="1">+_xludf.IFS(E173="100% Presencial",1, E173="20% Teletrabajo (4 días a la semana)",0.8,E173="40% Teletrabajo (3 días a la semana)",0.6,E173="60% Teletrabajo (2 días a la semana)",0.4,E173="80% Teletrabajo (1 día a la semana)",0.2,E173="100% Teletrabajo",0)</f>
        <v>#NAME?</v>
      </c>
      <c r="I173" s="486" t="e">
        <f t="array" aca="1" ref="I173" ca="1">+_xludf.IFS(F173="Vehículo - Uso individual","Auto",F173="Vehículo - Uso compartido","Auto",F173="Transporte público/bus de acercamiento","Bus",F173="Moto","Moto",F173="Bicicleta o caminando","Bicicleta",F173="Ninguno, pues realicé 100% teletrabajo","No aplica",F173="Moto eléctrica","Moto eléctrica",F173="Vehículo eléctrico - Uso Individual","Vehículo eléctrico",F173="Vehículo eléctrico - Uso Compartido","Vehículo eléctrico")</f>
        <v>#NAME?</v>
      </c>
      <c r="J173" s="486">
        <v>1</v>
      </c>
      <c r="K173" s="1324" t="e">
        <f t="shared" ca="1" si="0"/>
        <v>#NAME?</v>
      </c>
      <c r="L173" s="1325">
        <f ca="1">+IFERROR(VLOOKUP(I173,'Factores Emisión EDGE'!$K$267:$L$272,2,0),0)</f>
        <v>0</v>
      </c>
      <c r="M173" s="1325" t="e">
        <f t="shared" ca="1" si="1"/>
        <v>#NAME?</v>
      </c>
      <c r="N173" s="486" t="s">
        <v>3056</v>
      </c>
      <c r="O173" s="1312"/>
      <c r="P173" s="1312"/>
    </row>
    <row r="174" spans="1:16" ht="15.75" customHeight="1">
      <c r="A174" s="1314">
        <v>44929.482301249998</v>
      </c>
      <c r="B174" s="1310" t="s">
        <v>3299</v>
      </c>
      <c r="C174" s="1310" t="s">
        <v>2634</v>
      </c>
      <c r="D174" s="1310" t="s">
        <v>3048</v>
      </c>
      <c r="E174" s="1310" t="s">
        <v>883</v>
      </c>
      <c r="F174" s="1310" t="s">
        <v>1952</v>
      </c>
      <c r="G174" s="1326">
        <v>20</v>
      </c>
      <c r="H174" s="486" t="e">
        <f t="array" aca="1" ref="H174" ca="1">+_xludf.IFS(E174="100% Presencial",1, E174="20% Teletrabajo (4 días a la semana)",0.8,E174="40% Teletrabajo (3 días a la semana)",0.6,E174="60% Teletrabajo (2 días a la semana)",0.4,E174="80% Teletrabajo (1 día a la semana)",0.2,E174="100% Teletrabajo",0)</f>
        <v>#NAME?</v>
      </c>
      <c r="I174" s="486" t="e">
        <f t="array" aca="1" ref="I174" ca="1">+_xludf.IFS(F174="Vehículo - Uso individual","Auto",F174="Vehículo - Uso compartido","Auto",F174="Transporte público/bus de acercamiento","Bus",F174="Moto","Moto",F174="Bicicleta o caminando","Bicicleta",F174="Ninguno, pues realicé 100% teletrabajo","No aplica",F174="Moto eléctrica","Moto eléctrica",F174="Vehículo eléctrico - Uso Individual","Vehículo eléctrico",F174="Vehículo eléctrico - Uso Compartido","Vehículo eléctrico")</f>
        <v>#NAME?</v>
      </c>
      <c r="J174" s="486">
        <v>1</v>
      </c>
      <c r="K174" s="1324" t="e">
        <f t="shared" ca="1" si="0"/>
        <v>#NAME?</v>
      </c>
      <c r="L174" s="1325">
        <f ca="1">+IFERROR(VLOOKUP(I174,'Factores Emisión EDGE'!$K$267:$L$272,2,0),0)</f>
        <v>0</v>
      </c>
      <c r="M174" s="1325" t="e">
        <f t="shared" ca="1" si="1"/>
        <v>#NAME?</v>
      </c>
      <c r="N174" s="486" t="s">
        <v>3043</v>
      </c>
      <c r="O174" s="1312"/>
      <c r="P174" s="1312"/>
    </row>
    <row r="175" spans="1:16" ht="15.75" customHeight="1">
      <c r="A175" s="1314">
        <v>44939.653043321756</v>
      </c>
      <c r="B175" s="1310" t="s">
        <v>3300</v>
      </c>
      <c r="C175" s="1310" t="s">
        <v>3301</v>
      </c>
      <c r="D175" s="1310" t="s">
        <v>3046</v>
      </c>
      <c r="E175" s="1310" t="s">
        <v>3049</v>
      </c>
      <c r="F175" s="1310" t="s">
        <v>3050</v>
      </c>
      <c r="G175" s="1326">
        <v>20</v>
      </c>
      <c r="H175" s="486" t="e">
        <f t="array" aca="1" ref="H175" ca="1">+_xludf.IFS(E175="100% Presencial",1, E175="20% Teletrabajo (4 días a la semana)",0.8,E175="40% Teletrabajo (3 días a la semana)",0.6,E175="60% Teletrabajo (2 días a la semana)",0.4,E175="80% Teletrabajo (1 día a la semana)",0.2,E175="100% Teletrabajo",0)</f>
        <v>#NAME?</v>
      </c>
      <c r="I175" s="486" t="e">
        <f t="array" aca="1" ref="I175" ca="1">+_xludf.IFS(F175="Vehículo - Uso individual","Auto",F175="Vehículo - Uso compartido","Auto",F175="Transporte público/bus de acercamiento","Bus",F175="Moto","Moto",F175="Bicicleta o caminando","Bicicleta",F175="Ninguno, pues realicé 100% teletrabajo","No aplica",F175="Moto eléctrica","Moto eléctrica",F175="Vehículo eléctrico - Uso Individual","Vehículo eléctrico",F175="Vehículo eléctrico - Uso Compartido","Vehículo eléctrico")</f>
        <v>#NAME?</v>
      </c>
      <c r="J175" s="486">
        <v>1</v>
      </c>
      <c r="K175" s="1324" t="e">
        <f t="shared" ca="1" si="0"/>
        <v>#NAME?</v>
      </c>
      <c r="L175" s="1325">
        <f ca="1">+IFERROR(VLOOKUP(I175,'Factores Emisión EDGE'!$K$267:$L$272,2,0),0)</f>
        <v>0</v>
      </c>
      <c r="M175" s="1325" t="e">
        <f t="shared" ca="1" si="1"/>
        <v>#NAME?</v>
      </c>
      <c r="N175" s="486" t="s">
        <v>3043</v>
      </c>
      <c r="O175" s="1312"/>
      <c r="P175" s="1312"/>
    </row>
    <row r="176" spans="1:16" ht="15.75" customHeight="1">
      <c r="A176" s="1314">
        <v>44929.489750312496</v>
      </c>
      <c r="B176" s="1310" t="s">
        <v>3302</v>
      </c>
      <c r="C176" s="1310" t="s">
        <v>3303</v>
      </c>
      <c r="D176" s="1310" t="s">
        <v>3048</v>
      </c>
      <c r="E176" s="1310" t="s">
        <v>3042</v>
      </c>
      <c r="F176" s="1310" t="s">
        <v>3055</v>
      </c>
      <c r="G176" s="1326">
        <v>20</v>
      </c>
      <c r="H176" s="486" t="e">
        <f t="array" aca="1" ref="H176" ca="1">+_xludf.IFS(E176="100% Presencial",1, E176="20% Teletrabajo (4 días a la semana)",0.8,E176="40% Teletrabajo (3 días a la semana)",0.6,E176="60% Teletrabajo (2 días a la semana)",0.4,E176="80% Teletrabajo (1 día a la semana)",0.2,E176="100% Teletrabajo",0)</f>
        <v>#NAME?</v>
      </c>
      <c r="I176" s="486" t="e">
        <f t="array" aca="1" ref="I176" ca="1">+_xludf.IFS(F176="Vehículo - Uso individual","Auto",F176="Vehículo - Uso compartido","Auto",F176="Transporte público/bus de acercamiento","Bus",F176="Moto","Moto",F176="Bicicleta o caminando","Bicicleta",F176="Ninguno, pues realicé 100% teletrabajo","No aplica",F176="Moto eléctrica","Moto eléctrica",F176="Vehículo eléctrico - Uso Individual","Vehículo eléctrico",F176="Vehículo eléctrico - Uso Compartido","Vehículo eléctrico")</f>
        <v>#NAME?</v>
      </c>
      <c r="J176" s="486">
        <v>1</v>
      </c>
      <c r="K176" s="1324" t="e">
        <f t="shared" ca="1" si="0"/>
        <v>#NAME?</v>
      </c>
      <c r="L176" s="1325">
        <f ca="1">+IFERROR(VLOOKUP(I176,'Factores Emisión EDGE'!$K$267:$L$272,2,0),0)</f>
        <v>0</v>
      </c>
      <c r="M176" s="1325" t="e">
        <f t="shared" ca="1" si="1"/>
        <v>#NAME?</v>
      </c>
      <c r="N176" s="486" t="s">
        <v>3043</v>
      </c>
      <c r="O176" s="1312"/>
      <c r="P176" s="1312"/>
    </row>
    <row r="177" spans="1:16" ht="15.75" customHeight="1">
      <c r="A177" s="1314">
        <v>44929.490570879629</v>
      </c>
      <c r="B177" s="1310" t="s">
        <v>3304</v>
      </c>
      <c r="C177" s="1310" t="s">
        <v>3305</v>
      </c>
      <c r="D177" s="1310" t="s">
        <v>3048</v>
      </c>
      <c r="E177" s="1310" t="s">
        <v>885</v>
      </c>
      <c r="F177" s="1310" t="s">
        <v>1952</v>
      </c>
      <c r="G177" s="1326">
        <v>20</v>
      </c>
      <c r="H177" s="486" t="e">
        <f t="array" aca="1" ref="H177" ca="1">+_xludf.IFS(E177="100% Presencial",1, E177="20% Teletrabajo (4 días a la semana)",0.8,E177="40% Teletrabajo (3 días a la semana)",0.6,E177="60% Teletrabajo (2 días a la semana)",0.4,E177="80% Teletrabajo (1 día a la semana)",0.2,E177="100% Teletrabajo",0)</f>
        <v>#NAME?</v>
      </c>
      <c r="I177" s="486" t="e">
        <f t="array" aca="1" ref="I177" ca="1">+_xludf.IFS(F177="Vehículo - Uso individual","Auto",F177="Vehículo - Uso compartido","Auto",F177="Transporte público/bus de acercamiento","Bus",F177="Moto","Moto",F177="Bicicleta o caminando","Bicicleta",F177="Ninguno, pues realicé 100% teletrabajo","No aplica",F177="Moto eléctrica","Moto eléctrica",F177="Vehículo eléctrico - Uso Individual","Vehículo eléctrico",F177="Vehículo eléctrico - Uso Compartido","Vehículo eléctrico")</f>
        <v>#NAME?</v>
      </c>
      <c r="J177" s="486">
        <v>1</v>
      </c>
      <c r="K177" s="1324" t="e">
        <f t="shared" ca="1" si="0"/>
        <v>#NAME?</v>
      </c>
      <c r="L177" s="1325">
        <f ca="1">+IFERROR(VLOOKUP(I177,'Factores Emisión EDGE'!$K$267:$L$272,2,0),0)</f>
        <v>0</v>
      </c>
      <c r="M177" s="1325" t="e">
        <f t="shared" ca="1" si="1"/>
        <v>#NAME?</v>
      </c>
      <c r="N177" s="486" t="s">
        <v>3043</v>
      </c>
      <c r="O177" s="1312"/>
      <c r="P177" s="1312"/>
    </row>
    <row r="178" spans="1:16" ht="15.75" customHeight="1">
      <c r="A178" s="1314">
        <v>44929.500172337968</v>
      </c>
      <c r="B178" s="1310" t="s">
        <v>3306</v>
      </c>
      <c r="C178" s="1310" t="s">
        <v>3307</v>
      </c>
      <c r="D178" s="1310" t="s">
        <v>3292</v>
      </c>
      <c r="E178" s="1310" t="s">
        <v>3049</v>
      </c>
      <c r="F178" s="1310" t="s">
        <v>1952</v>
      </c>
      <c r="G178" s="1326">
        <v>20</v>
      </c>
      <c r="H178" s="486" t="e">
        <f t="array" aca="1" ref="H178" ca="1">+_xludf.IFS(E178="100% Presencial",1, E178="20% Teletrabajo (4 días a la semana)",0.8,E178="40% Teletrabajo (3 días a la semana)",0.6,E178="60% Teletrabajo (2 días a la semana)",0.4,E178="80% Teletrabajo (1 día a la semana)",0.2,E178="100% Teletrabajo",0)</f>
        <v>#NAME?</v>
      </c>
      <c r="I178" s="486" t="e">
        <f t="array" aca="1" ref="I178" ca="1">+_xludf.IFS(F178="Vehículo - Uso individual","Auto",F178="Vehículo - Uso compartido","Auto",F178="Transporte público/bus de acercamiento","Bus",F178="Moto","Moto",F178="Bicicleta o caminando","Bicicleta",F178="Ninguno, pues realicé 100% teletrabajo","No aplica",F178="Moto eléctrica","Moto eléctrica",F178="Vehículo eléctrico - Uso Individual","Vehículo eléctrico",F178="Vehículo eléctrico - Uso Compartido","Vehículo eléctrico")</f>
        <v>#NAME?</v>
      </c>
      <c r="J178" s="486">
        <v>1</v>
      </c>
      <c r="K178" s="1324" t="e">
        <f t="shared" ca="1" si="0"/>
        <v>#NAME?</v>
      </c>
      <c r="L178" s="1325">
        <f ca="1">+IFERROR(VLOOKUP(I178,'Factores Emisión EDGE'!$K$267:$L$272,2,0),0)</f>
        <v>0</v>
      </c>
      <c r="M178" s="1325" t="e">
        <f t="shared" ca="1" si="1"/>
        <v>#NAME?</v>
      </c>
      <c r="N178" s="486" t="s">
        <v>3043</v>
      </c>
      <c r="O178" s="1312"/>
      <c r="P178" s="1312"/>
    </row>
    <row r="179" spans="1:16" ht="15.75" customHeight="1">
      <c r="A179" s="1314">
        <v>44929.554902511576</v>
      </c>
      <c r="B179" s="1310" t="s">
        <v>3308</v>
      </c>
      <c r="C179" s="1310" t="s">
        <v>3309</v>
      </c>
      <c r="D179" s="1310" t="s">
        <v>3054</v>
      </c>
      <c r="E179" s="1310" t="s">
        <v>3049</v>
      </c>
      <c r="F179" s="1310" t="s">
        <v>1995</v>
      </c>
      <c r="G179" s="1326">
        <v>20</v>
      </c>
      <c r="H179" s="486" t="e">
        <f t="array" aca="1" ref="H179" ca="1">+_xludf.IFS(E179="100% Presencial",1, E179="20% Teletrabajo (4 días a la semana)",0.8,E179="40% Teletrabajo (3 días a la semana)",0.6,E179="60% Teletrabajo (2 días a la semana)",0.4,E179="80% Teletrabajo (1 día a la semana)",0.2,E179="100% Teletrabajo",0)</f>
        <v>#NAME?</v>
      </c>
      <c r="I179" s="486" t="e">
        <f t="array" aca="1" ref="I179" ca="1">+_xludf.IFS(F179="Vehículo - Uso individual","Auto",F179="Vehículo - Uso compartido","Auto",F179="Transporte público/bus de acercamiento","Bus",F179="Moto","Moto",F179="Bicicleta o caminando","Bicicleta",F179="Ninguno, pues realicé 100% teletrabajo","No aplica",F179="Moto eléctrica","Moto eléctrica",F179="Vehículo eléctrico - Uso Individual","Vehículo eléctrico",F179="Vehículo eléctrico - Uso Compartido","Vehículo eléctrico")</f>
        <v>#NAME?</v>
      </c>
      <c r="J179" s="486">
        <v>0.25</v>
      </c>
      <c r="K179" s="1324" t="e">
        <f t="shared" ca="1" si="0"/>
        <v>#NAME?</v>
      </c>
      <c r="L179" s="1325">
        <f ca="1">+IFERROR(VLOOKUP(I179,'Factores Emisión EDGE'!$K$267:$L$272,2,0),0)</f>
        <v>0</v>
      </c>
      <c r="M179" s="1325" t="e">
        <f t="shared" ca="1" si="1"/>
        <v>#NAME?</v>
      </c>
      <c r="N179" s="486" t="s">
        <v>3043</v>
      </c>
      <c r="O179" s="1312"/>
      <c r="P179" s="1312"/>
    </row>
    <row r="180" spans="1:16" ht="15.75" customHeight="1">
      <c r="A180" s="1314">
        <v>44929.555787534722</v>
      </c>
      <c r="B180" s="1310" t="s">
        <v>3310</v>
      </c>
      <c r="C180" s="1310" t="s">
        <v>3311</v>
      </c>
      <c r="D180" s="1310" t="s">
        <v>3048</v>
      </c>
      <c r="E180" s="1310" t="s">
        <v>3042</v>
      </c>
      <c r="F180" s="1310" t="s">
        <v>1952</v>
      </c>
      <c r="G180" s="1326">
        <v>20</v>
      </c>
      <c r="H180" s="486" t="e">
        <f t="array" aca="1" ref="H180" ca="1">+_xludf.IFS(E180="100% Presencial",1, E180="20% Teletrabajo (4 días a la semana)",0.8,E180="40% Teletrabajo (3 días a la semana)",0.6,E180="60% Teletrabajo (2 días a la semana)",0.4,E180="80% Teletrabajo (1 día a la semana)",0.2,E180="100% Teletrabajo",0)</f>
        <v>#NAME?</v>
      </c>
      <c r="I180" s="486" t="e">
        <f t="array" aca="1" ref="I180" ca="1">+_xludf.IFS(F180="Vehículo - Uso individual","Auto",F180="Vehículo - Uso compartido","Auto",F180="Transporte público/bus de acercamiento","Bus",F180="Moto","Moto",F180="Bicicleta o caminando","Bicicleta",F180="Ninguno, pues realicé 100% teletrabajo","No aplica",F180="Moto eléctrica","Moto eléctrica",F180="Vehículo eléctrico - Uso Individual","Vehículo eléctrico",F180="Vehículo eléctrico - Uso Compartido","Vehículo eléctrico")</f>
        <v>#NAME?</v>
      </c>
      <c r="J180" s="486">
        <v>1</v>
      </c>
      <c r="K180" s="1324" t="e">
        <f t="shared" ca="1" si="0"/>
        <v>#NAME?</v>
      </c>
      <c r="L180" s="1325">
        <f ca="1">+IFERROR(VLOOKUP(I180,'Factores Emisión EDGE'!$K$267:$L$272,2,0),0)</f>
        <v>0</v>
      </c>
      <c r="M180" s="1325" t="e">
        <f t="shared" ca="1" si="1"/>
        <v>#NAME?</v>
      </c>
      <c r="N180" s="486" t="s">
        <v>3043</v>
      </c>
      <c r="O180" s="1312"/>
      <c r="P180" s="1312"/>
    </row>
    <row r="181" spans="1:16" ht="15.75" customHeight="1">
      <c r="A181" s="1314">
        <v>44930.014787962966</v>
      </c>
      <c r="B181" s="1310" t="s">
        <v>2463</v>
      </c>
      <c r="C181" s="1310" t="s">
        <v>2464</v>
      </c>
      <c r="D181" s="1310" t="s">
        <v>3048</v>
      </c>
      <c r="E181" s="1310" t="s">
        <v>885</v>
      </c>
      <c r="F181" s="1310" t="s">
        <v>1995</v>
      </c>
      <c r="G181" s="1326">
        <v>20</v>
      </c>
      <c r="H181" s="486" t="e">
        <f t="array" aca="1" ref="H181" ca="1">+_xludf.IFS(E181="100% Presencial",1, E181="20% Teletrabajo (4 días a la semana)",0.8,E181="40% Teletrabajo (3 días a la semana)",0.6,E181="60% Teletrabajo (2 días a la semana)",0.4,E181="80% Teletrabajo (1 día a la semana)",0.2,E181="100% Teletrabajo",0)</f>
        <v>#NAME?</v>
      </c>
      <c r="I181" s="486" t="e">
        <f t="array" aca="1" ref="I181" ca="1">+_xludf.IFS(F181="Vehículo - Uso individual","Auto",F181="Vehículo - Uso compartido","Auto",F181="Transporte público/bus de acercamiento","Bus",F181="Moto","Moto",F181="Bicicleta o caminando","Bicicleta",F181="Ninguno, pues realicé 100% teletrabajo","No aplica",F181="Moto eléctrica","Moto eléctrica",F181="Vehículo eléctrico - Uso Individual","Vehículo eléctrico",F181="Vehículo eléctrico - Uso Compartido","Vehículo eléctrico")</f>
        <v>#NAME?</v>
      </c>
      <c r="J181" s="486">
        <v>0.25</v>
      </c>
      <c r="K181" s="1324" t="e">
        <f t="shared" ca="1" si="0"/>
        <v>#NAME?</v>
      </c>
      <c r="L181" s="1325">
        <f ca="1">+IFERROR(VLOOKUP(I181,'Factores Emisión EDGE'!$K$267:$L$272,2,0),0)</f>
        <v>0</v>
      </c>
      <c r="M181" s="1325" t="e">
        <f t="shared" ca="1" si="1"/>
        <v>#NAME?</v>
      </c>
      <c r="N181" s="486" t="s">
        <v>3043</v>
      </c>
      <c r="O181" s="1312"/>
      <c r="P181" s="1312"/>
    </row>
    <row r="182" spans="1:16" ht="15.75" customHeight="1">
      <c r="A182" s="1314">
        <v>44930.428044502318</v>
      </c>
      <c r="B182" s="1310" t="s">
        <v>2571</v>
      </c>
      <c r="C182" s="1310" t="s">
        <v>2572</v>
      </c>
      <c r="D182" s="1310" t="s">
        <v>3048</v>
      </c>
      <c r="E182" s="1310" t="s">
        <v>883</v>
      </c>
      <c r="F182" s="1310" t="s">
        <v>1952</v>
      </c>
      <c r="G182" s="1326">
        <v>20</v>
      </c>
      <c r="H182" s="486" t="e">
        <f t="array" aca="1" ref="H182" ca="1">+_xludf.IFS(E182="100% Presencial",1, E182="20% Teletrabajo (4 días a la semana)",0.8,E182="40% Teletrabajo (3 días a la semana)",0.6,E182="60% Teletrabajo (2 días a la semana)",0.4,E182="80% Teletrabajo (1 día a la semana)",0.2,E182="100% Teletrabajo",0)</f>
        <v>#NAME?</v>
      </c>
      <c r="I182" s="486" t="e">
        <f t="array" aca="1" ref="I182" ca="1">+_xludf.IFS(F182="Vehículo - Uso individual","Auto",F182="Vehículo - Uso compartido","Auto",F182="Transporte público/bus de acercamiento","Bus",F182="Moto","Moto",F182="Bicicleta o caminando","Bicicleta",F182="Ninguno, pues realicé 100% teletrabajo","No aplica",F182="Moto eléctrica","Moto eléctrica",F182="Vehículo eléctrico - Uso Individual","Vehículo eléctrico",F182="Vehículo eléctrico - Uso Compartido","Vehículo eléctrico")</f>
        <v>#NAME?</v>
      </c>
      <c r="J182" s="486">
        <v>1</v>
      </c>
      <c r="K182" s="1324" t="e">
        <f t="shared" ca="1" si="0"/>
        <v>#NAME?</v>
      </c>
      <c r="L182" s="1325">
        <f ca="1">+IFERROR(VLOOKUP(I182,'Factores Emisión EDGE'!$K$267:$L$272,2,0),0)</f>
        <v>0</v>
      </c>
      <c r="M182" s="1325" t="e">
        <f t="shared" ca="1" si="1"/>
        <v>#NAME?</v>
      </c>
      <c r="N182" s="486" t="s">
        <v>3043</v>
      </c>
      <c r="O182" s="1312"/>
      <c r="P182" s="1312"/>
    </row>
    <row r="183" spans="1:16" ht="15.75" customHeight="1">
      <c r="A183" s="1314">
        <v>44930.537647060184</v>
      </c>
      <c r="B183" s="1310" t="s">
        <v>2639</v>
      </c>
      <c r="C183" s="1310" t="s">
        <v>2640</v>
      </c>
      <c r="D183" s="1310" t="s">
        <v>3063</v>
      </c>
      <c r="E183" s="1310" t="s">
        <v>3042</v>
      </c>
      <c r="F183" s="1310" t="s">
        <v>1952</v>
      </c>
      <c r="G183" s="1326">
        <v>20</v>
      </c>
      <c r="H183" s="486" t="e">
        <f t="array" aca="1" ref="H183" ca="1">+_xludf.IFS(E183="100% Presencial",1, E183="20% Teletrabajo (4 días a la semana)",0.8,E183="40% Teletrabajo (3 días a la semana)",0.6,E183="60% Teletrabajo (2 días a la semana)",0.4,E183="80% Teletrabajo (1 día a la semana)",0.2,E183="100% Teletrabajo",0)</f>
        <v>#NAME?</v>
      </c>
      <c r="I183" s="486" t="e">
        <f t="array" aca="1" ref="I183" ca="1">+_xludf.IFS(F183="Vehículo - Uso individual","Auto",F183="Vehículo - Uso compartido","Auto",F183="Transporte público/bus de acercamiento","Bus",F183="Moto","Moto",F183="Bicicleta o caminando","Bicicleta",F183="Ninguno, pues realicé 100% teletrabajo","No aplica",F183="Moto eléctrica","Moto eléctrica",F183="Vehículo eléctrico - Uso Individual","Vehículo eléctrico",F183="Vehículo eléctrico - Uso Compartido","Vehículo eléctrico")</f>
        <v>#NAME?</v>
      </c>
      <c r="J183" s="486">
        <v>1</v>
      </c>
      <c r="K183" s="1324" t="e">
        <f t="shared" ca="1" si="0"/>
        <v>#NAME?</v>
      </c>
      <c r="L183" s="1325">
        <f ca="1">+IFERROR(VLOOKUP(I183,'Factores Emisión EDGE'!$K$267:$L$272,2,0),0)</f>
        <v>0</v>
      </c>
      <c r="M183" s="1325" t="e">
        <f t="shared" ca="1" si="1"/>
        <v>#NAME?</v>
      </c>
      <c r="N183" s="486" t="s">
        <v>3056</v>
      </c>
      <c r="O183" s="1312"/>
      <c r="P183" s="1312"/>
    </row>
    <row r="184" spans="1:16" ht="15.75" customHeight="1">
      <c r="A184" s="1314">
        <v>44930.80641315972</v>
      </c>
      <c r="B184" s="1310" t="s">
        <v>3312</v>
      </c>
      <c r="C184" s="1310" t="s">
        <v>3313</v>
      </c>
      <c r="D184" s="1310" t="s">
        <v>3107</v>
      </c>
      <c r="E184" s="1310" t="s">
        <v>3042</v>
      </c>
      <c r="F184" s="1310" t="s">
        <v>1952</v>
      </c>
      <c r="G184" s="1326">
        <v>20</v>
      </c>
      <c r="H184" s="486" t="e">
        <f t="array" aca="1" ref="H184" ca="1">+_xludf.IFS(E184="100% Presencial",1, E184="20% Teletrabajo (4 días a la semana)",0.8,E184="40% Teletrabajo (3 días a la semana)",0.6,E184="60% Teletrabajo (2 días a la semana)",0.4,E184="80% Teletrabajo (1 día a la semana)",0.2,E184="100% Teletrabajo",0)</f>
        <v>#NAME?</v>
      </c>
      <c r="I184" s="486" t="e">
        <f t="array" aca="1" ref="I184" ca="1">+_xludf.IFS(F184="Vehículo - Uso individual","Auto",F184="Vehículo - Uso compartido","Auto",F184="Transporte público/bus de acercamiento","Bus",F184="Moto","Moto",F184="Bicicleta o caminando","Bicicleta",F184="Ninguno, pues realicé 100% teletrabajo","No aplica",F184="Moto eléctrica","Moto eléctrica",F184="Vehículo eléctrico - Uso Individual","Vehículo eléctrico",F184="Vehículo eléctrico - Uso Compartido","Vehículo eléctrico")</f>
        <v>#NAME?</v>
      </c>
      <c r="J184" s="486">
        <v>1</v>
      </c>
      <c r="K184" s="1324" t="e">
        <f t="shared" ca="1" si="0"/>
        <v>#NAME?</v>
      </c>
      <c r="L184" s="1325">
        <f ca="1">+IFERROR(VLOOKUP(I184,'Factores Emisión EDGE'!$K$267:$L$272,2,0),0)</f>
        <v>0</v>
      </c>
      <c r="M184" s="1325" t="e">
        <f t="shared" ca="1" si="1"/>
        <v>#NAME?</v>
      </c>
      <c r="N184" s="486" t="s">
        <v>3056</v>
      </c>
      <c r="O184" s="1312"/>
      <c r="P184" s="1312"/>
    </row>
    <row r="185" spans="1:16" ht="15.75" customHeight="1">
      <c r="A185" s="1314">
        <v>44931.453725659725</v>
      </c>
      <c r="B185" s="1310" t="s">
        <v>3314</v>
      </c>
      <c r="C185" s="1310" t="s">
        <v>3315</v>
      </c>
      <c r="D185" s="1310" t="s">
        <v>3063</v>
      </c>
      <c r="E185" s="1310" t="s">
        <v>3042</v>
      </c>
      <c r="F185" s="1310" t="s">
        <v>1995</v>
      </c>
      <c r="G185" s="1326">
        <v>20</v>
      </c>
      <c r="H185" s="486" t="e">
        <f t="array" aca="1" ref="H185" ca="1">+_xludf.IFS(E185="100% Presencial",1, E185="20% Teletrabajo (4 días a la semana)",0.8,E185="40% Teletrabajo (3 días a la semana)",0.6,E185="60% Teletrabajo (2 días a la semana)",0.4,E185="80% Teletrabajo (1 día a la semana)",0.2,E185="100% Teletrabajo",0)</f>
        <v>#NAME?</v>
      </c>
      <c r="I185" s="486" t="e">
        <f t="array" aca="1" ref="I185" ca="1">+_xludf.IFS(F185="Vehículo - Uso individual","Auto",F185="Vehículo - Uso compartido","Auto",F185="Transporte público/bus de acercamiento","Bus",F185="Moto","Moto",F185="Bicicleta o caminando","Bicicleta",F185="Ninguno, pues realicé 100% teletrabajo","No aplica",F185="Moto eléctrica","Moto eléctrica",F185="Vehículo eléctrico - Uso Individual","Vehículo eléctrico",F185="Vehículo eléctrico - Uso Compartido","Vehículo eléctrico")</f>
        <v>#NAME?</v>
      </c>
      <c r="J185" s="486">
        <v>0.25</v>
      </c>
      <c r="K185" s="1324" t="e">
        <f t="shared" ca="1" si="0"/>
        <v>#NAME?</v>
      </c>
      <c r="L185" s="1325">
        <f ca="1">+IFERROR(VLOOKUP(I185,'Factores Emisión EDGE'!$K$267:$L$272,2,0),0)</f>
        <v>0</v>
      </c>
      <c r="M185" s="1325" t="e">
        <f t="shared" ca="1" si="1"/>
        <v>#NAME?</v>
      </c>
      <c r="N185" s="486" t="s">
        <v>3056</v>
      </c>
      <c r="O185" s="1312"/>
      <c r="P185" s="1312"/>
    </row>
    <row r="186" spans="1:16" ht="15.75" customHeight="1">
      <c r="A186" s="1314">
        <v>44936.716832384263</v>
      </c>
      <c r="B186" s="1310" t="s">
        <v>3316</v>
      </c>
      <c r="C186" s="1310" t="s">
        <v>3317</v>
      </c>
      <c r="D186" s="1310" t="s">
        <v>3048</v>
      </c>
      <c r="E186" s="1310" t="s">
        <v>3042</v>
      </c>
      <c r="F186" s="1310" t="s">
        <v>3055</v>
      </c>
      <c r="G186" s="1326">
        <v>20</v>
      </c>
      <c r="H186" s="486" t="e">
        <f t="array" aca="1" ref="H186" ca="1">+_xludf.IFS(E186="100% Presencial",1, E186="20% Teletrabajo (4 días a la semana)",0.8,E186="40% Teletrabajo (3 días a la semana)",0.6,E186="60% Teletrabajo (2 días a la semana)",0.4,E186="80% Teletrabajo (1 día a la semana)",0.2,E186="100% Teletrabajo",0)</f>
        <v>#NAME?</v>
      </c>
      <c r="I186" s="486" t="e">
        <f t="array" aca="1" ref="I186" ca="1">+_xludf.IFS(F186="Vehículo - Uso individual","Auto",F186="Vehículo - Uso compartido","Auto",F186="Transporte público/bus de acercamiento","Bus",F186="Moto","Moto",F186="Bicicleta o caminando","Bicicleta",F186="Ninguno, pues realicé 100% teletrabajo","No aplica",F186="Moto eléctrica","Moto eléctrica",F186="Vehículo eléctrico - Uso Individual","Vehículo eléctrico",F186="Vehículo eléctrico - Uso Compartido","Vehículo eléctrico")</f>
        <v>#NAME?</v>
      </c>
      <c r="J186" s="486">
        <v>1</v>
      </c>
      <c r="K186" s="1324" t="e">
        <f t="shared" ca="1" si="0"/>
        <v>#NAME?</v>
      </c>
      <c r="L186" s="1325">
        <f ca="1">+IFERROR(VLOOKUP(I186,'Factores Emisión EDGE'!$K$267:$L$272,2,0),0)</f>
        <v>0</v>
      </c>
      <c r="M186" s="1325" t="e">
        <f t="shared" ca="1" si="1"/>
        <v>#NAME?</v>
      </c>
      <c r="N186" s="486" t="s">
        <v>3043</v>
      </c>
      <c r="O186" s="1312"/>
      <c r="P186" s="1312"/>
    </row>
    <row r="187" spans="1:16" ht="15.75" customHeight="1">
      <c r="A187" s="1314">
        <v>44937.758312256949</v>
      </c>
      <c r="B187" s="1310" t="s">
        <v>2571</v>
      </c>
      <c r="C187" s="1310" t="s">
        <v>2572</v>
      </c>
      <c r="D187" s="1310" t="s">
        <v>3048</v>
      </c>
      <c r="E187" s="1310" t="s">
        <v>883</v>
      </c>
      <c r="F187" s="1310" t="s">
        <v>1952</v>
      </c>
      <c r="G187" s="1326">
        <v>20</v>
      </c>
      <c r="H187" s="486" t="e">
        <f t="array" aca="1" ref="H187" ca="1">+_xludf.IFS(E187="100% Presencial",1, E187="20% Teletrabajo (4 días a la semana)",0.8,E187="40% Teletrabajo (3 días a la semana)",0.6,E187="60% Teletrabajo (2 días a la semana)",0.4,E187="80% Teletrabajo (1 día a la semana)",0.2,E187="100% Teletrabajo",0)</f>
        <v>#NAME?</v>
      </c>
      <c r="I187" s="486" t="e">
        <f t="array" aca="1" ref="I187" ca="1">+_xludf.IFS(F187="Vehículo - Uso individual","Auto",F187="Vehículo - Uso compartido","Auto",F187="Transporte público/bus de acercamiento","Bus",F187="Moto","Moto",F187="Bicicleta o caminando","Bicicleta",F187="Ninguno, pues realicé 100% teletrabajo","No aplica",F187="Moto eléctrica","Moto eléctrica",F187="Vehículo eléctrico - Uso Individual","Vehículo eléctrico",F187="Vehículo eléctrico - Uso Compartido","Vehículo eléctrico")</f>
        <v>#NAME?</v>
      </c>
      <c r="J187" s="486">
        <v>1</v>
      </c>
      <c r="K187" s="1324" t="e">
        <f t="shared" ca="1" si="0"/>
        <v>#NAME?</v>
      </c>
      <c r="L187" s="1325">
        <f ca="1">+IFERROR(VLOOKUP(I187,'Factores Emisión EDGE'!$K$267:$L$272,2,0),0)</f>
        <v>0</v>
      </c>
      <c r="M187" s="1325" t="e">
        <f t="shared" ca="1" si="1"/>
        <v>#NAME?</v>
      </c>
      <c r="N187" s="486" t="s">
        <v>3043</v>
      </c>
      <c r="O187" s="1312"/>
      <c r="P187" s="1312"/>
    </row>
    <row r="188" spans="1:16" ht="15.75" customHeight="1">
      <c r="A188" s="1314">
        <v>44938.545858877318</v>
      </c>
      <c r="B188" s="1310" t="s">
        <v>3318</v>
      </c>
      <c r="C188" s="1310" t="s">
        <v>3319</v>
      </c>
      <c r="D188" s="1310" t="s">
        <v>3048</v>
      </c>
      <c r="E188" s="1310" t="s">
        <v>3042</v>
      </c>
      <c r="F188" s="1310" t="s">
        <v>1995</v>
      </c>
      <c r="G188" s="1326">
        <v>20</v>
      </c>
      <c r="H188" s="486" t="e">
        <f t="array" aca="1" ref="H188" ca="1">+_xludf.IFS(E188="100% Presencial",1, E188="20% Teletrabajo (4 días a la semana)",0.8,E188="40% Teletrabajo (3 días a la semana)",0.6,E188="60% Teletrabajo (2 días a la semana)",0.4,E188="80% Teletrabajo (1 día a la semana)",0.2,E188="100% Teletrabajo",0)</f>
        <v>#NAME?</v>
      </c>
      <c r="I188" s="486" t="e">
        <f t="array" aca="1" ref="I188" ca="1">+_xludf.IFS(F188="Vehículo - Uso individual","Auto",F188="Vehículo - Uso compartido","Auto",F188="Transporte público/bus de acercamiento","Bus",F188="Moto","Moto",F188="Bicicleta o caminando","Bicicleta",F188="Ninguno, pues realicé 100% teletrabajo","No aplica",F188="Moto eléctrica","Moto eléctrica",F188="Vehículo eléctrico - Uso Individual","Vehículo eléctrico",F188="Vehículo eléctrico - Uso Compartido","Vehículo eléctrico")</f>
        <v>#NAME?</v>
      </c>
      <c r="J188" s="486">
        <v>0.25</v>
      </c>
      <c r="K188" s="1324" t="e">
        <f t="shared" ca="1" si="0"/>
        <v>#NAME?</v>
      </c>
      <c r="L188" s="1325">
        <f ca="1">+IFERROR(VLOOKUP(I188,'Factores Emisión EDGE'!$K$267:$L$272,2,0),0)</f>
        <v>0</v>
      </c>
      <c r="M188" s="1325" t="e">
        <f t="shared" ca="1" si="1"/>
        <v>#NAME?</v>
      </c>
      <c r="N188" s="486" t="s">
        <v>3056</v>
      </c>
      <c r="O188" s="1312"/>
      <c r="P188" s="1312"/>
    </row>
    <row r="189" spans="1:16" ht="15.75" customHeight="1">
      <c r="A189" s="1314">
        <v>44938.630150821758</v>
      </c>
      <c r="B189" s="1310" t="s">
        <v>3320</v>
      </c>
      <c r="C189" s="1310" t="s">
        <v>3321</v>
      </c>
      <c r="D189" s="1310" t="s">
        <v>3048</v>
      </c>
      <c r="E189" s="1310" t="s">
        <v>3042</v>
      </c>
      <c r="F189" s="1310" t="s">
        <v>1952</v>
      </c>
      <c r="G189" s="1326">
        <v>20</v>
      </c>
      <c r="H189" s="486" t="e">
        <f t="array" aca="1" ref="H189" ca="1">+_xludf.IFS(E189="100% Presencial",1, E189="20% Teletrabajo (4 días a la semana)",0.8,E189="40% Teletrabajo (3 días a la semana)",0.6,E189="60% Teletrabajo (2 días a la semana)",0.4,E189="80% Teletrabajo (1 día a la semana)",0.2,E189="100% Teletrabajo",0)</f>
        <v>#NAME?</v>
      </c>
      <c r="I189" s="486" t="e">
        <f t="array" aca="1" ref="I189" ca="1">+_xludf.IFS(F189="Vehículo - Uso individual","Auto",F189="Vehículo - Uso compartido","Auto",F189="Transporte público/bus de acercamiento","Bus",F189="Moto","Moto",F189="Bicicleta o caminando","Bicicleta",F189="Ninguno, pues realicé 100% teletrabajo","No aplica",F189="Moto eléctrica","Moto eléctrica",F189="Vehículo eléctrico - Uso Individual","Vehículo eléctrico",F189="Vehículo eléctrico - Uso Compartido","Vehículo eléctrico")</f>
        <v>#NAME?</v>
      </c>
      <c r="J189" s="486">
        <v>1</v>
      </c>
      <c r="K189" s="1324" t="e">
        <f t="shared" ca="1" si="0"/>
        <v>#NAME?</v>
      </c>
      <c r="L189" s="1325">
        <f ca="1">+IFERROR(VLOOKUP(I189,'Factores Emisión EDGE'!$K$267:$L$272,2,0),0)</f>
        <v>0</v>
      </c>
      <c r="M189" s="1325" t="e">
        <f t="shared" ca="1" si="1"/>
        <v>#NAME?</v>
      </c>
      <c r="N189" s="486" t="s">
        <v>3056</v>
      </c>
      <c r="O189" s="1312"/>
      <c r="P189" s="1312"/>
    </row>
    <row r="190" spans="1:16" ht="15.75" customHeight="1">
      <c r="A190" s="1314">
        <v>44938.669898587963</v>
      </c>
      <c r="B190" s="1310" t="s">
        <v>3322</v>
      </c>
      <c r="C190" s="1310" t="s">
        <v>3323</v>
      </c>
      <c r="D190" s="1310" t="s">
        <v>3048</v>
      </c>
      <c r="E190" s="1310" t="s">
        <v>3042</v>
      </c>
      <c r="F190" s="1310" t="s">
        <v>1952</v>
      </c>
      <c r="G190" s="1326">
        <v>20</v>
      </c>
      <c r="H190" s="486" t="e">
        <f t="array" aca="1" ref="H190" ca="1">+_xludf.IFS(E190="100% Presencial",1, E190="20% Teletrabajo (4 días a la semana)",0.8,E190="40% Teletrabajo (3 días a la semana)",0.6,E190="60% Teletrabajo (2 días a la semana)",0.4,E190="80% Teletrabajo (1 día a la semana)",0.2,E190="100% Teletrabajo",0)</f>
        <v>#NAME?</v>
      </c>
      <c r="I190" s="486" t="e">
        <f t="array" aca="1" ref="I190" ca="1">+_xludf.IFS(F190="Vehículo - Uso individual","Auto",F190="Vehículo - Uso compartido","Auto",F190="Transporte público/bus de acercamiento","Bus",F190="Moto","Moto",F190="Bicicleta o caminando","Bicicleta",F190="Ninguno, pues realicé 100% teletrabajo","No aplica",F190="Moto eléctrica","Moto eléctrica",F190="Vehículo eléctrico - Uso Individual","Vehículo eléctrico",F190="Vehículo eléctrico - Uso Compartido","Vehículo eléctrico")</f>
        <v>#NAME?</v>
      </c>
      <c r="J190" s="486">
        <v>1</v>
      </c>
      <c r="K190" s="1324" t="e">
        <f t="shared" ca="1" si="0"/>
        <v>#NAME?</v>
      </c>
      <c r="L190" s="1325">
        <f ca="1">+IFERROR(VLOOKUP(I190,'Factores Emisión EDGE'!$K$267:$L$272,2,0),0)</f>
        <v>0</v>
      </c>
      <c r="M190" s="1325" t="e">
        <f t="shared" ca="1" si="1"/>
        <v>#NAME?</v>
      </c>
      <c r="N190" s="486" t="s">
        <v>3056</v>
      </c>
      <c r="O190" s="1312"/>
      <c r="P190" s="1312"/>
    </row>
    <row r="191" spans="1:16" ht="15.75" customHeight="1">
      <c r="A191" s="1314">
        <v>44938.705839282411</v>
      </c>
      <c r="B191" s="1310" t="s">
        <v>3324</v>
      </c>
      <c r="C191" s="1310" t="s">
        <v>3325</v>
      </c>
      <c r="D191" s="1310" t="s">
        <v>3048</v>
      </c>
      <c r="E191" s="1310" t="s">
        <v>3042</v>
      </c>
      <c r="F191" s="1310" t="s">
        <v>1952</v>
      </c>
      <c r="G191" s="1326">
        <v>20</v>
      </c>
      <c r="H191" s="486" t="e">
        <f t="array" aca="1" ref="H191" ca="1">+_xludf.IFS(E191="100% Presencial",1, E191="20% Teletrabajo (4 días a la semana)",0.8,E191="40% Teletrabajo (3 días a la semana)",0.6,E191="60% Teletrabajo (2 días a la semana)",0.4,E191="80% Teletrabajo (1 día a la semana)",0.2,E191="100% Teletrabajo",0)</f>
        <v>#NAME?</v>
      </c>
      <c r="I191" s="486" t="e">
        <f t="array" aca="1" ref="I191" ca="1">+_xludf.IFS(F191="Vehículo - Uso individual","Auto",F191="Vehículo - Uso compartido","Auto",F191="Transporte público/bus de acercamiento","Bus",F191="Moto","Moto",F191="Bicicleta o caminando","Bicicleta",F191="Ninguno, pues realicé 100% teletrabajo","No aplica",F191="Moto eléctrica","Moto eléctrica",F191="Vehículo eléctrico - Uso Individual","Vehículo eléctrico",F191="Vehículo eléctrico - Uso Compartido","Vehículo eléctrico")</f>
        <v>#NAME?</v>
      </c>
      <c r="J191" s="486">
        <v>1</v>
      </c>
      <c r="K191" s="1324" t="e">
        <f t="shared" ca="1" si="0"/>
        <v>#NAME?</v>
      </c>
      <c r="L191" s="1325">
        <f ca="1">+IFERROR(VLOOKUP(I191,'Factores Emisión EDGE'!$K$267:$L$272,2,0),0)</f>
        <v>0</v>
      </c>
      <c r="M191" s="1325" t="e">
        <f t="shared" ca="1" si="1"/>
        <v>#NAME?</v>
      </c>
      <c r="N191" s="486" t="s">
        <v>3056</v>
      </c>
      <c r="O191" s="1312"/>
      <c r="P191" s="1312"/>
    </row>
    <row r="192" spans="1:16" ht="15.75" customHeight="1">
      <c r="A192" s="1314">
        <v>44938.715001145829</v>
      </c>
      <c r="B192" s="1310" t="s">
        <v>3326</v>
      </c>
      <c r="C192" s="1310" t="s">
        <v>3269</v>
      </c>
      <c r="D192" s="1310" t="s">
        <v>3048</v>
      </c>
      <c r="E192" s="1310" t="s">
        <v>3042</v>
      </c>
      <c r="F192" s="1310" t="s">
        <v>3055</v>
      </c>
      <c r="G192" s="1326">
        <v>20</v>
      </c>
      <c r="H192" s="486" t="e">
        <f t="array" aca="1" ref="H192" ca="1">+_xludf.IFS(E192="100% Presencial",1, E192="20% Teletrabajo (4 días a la semana)",0.8,E192="40% Teletrabajo (3 días a la semana)",0.6,E192="60% Teletrabajo (2 días a la semana)",0.4,E192="80% Teletrabajo (1 día a la semana)",0.2,E192="100% Teletrabajo",0)</f>
        <v>#NAME?</v>
      </c>
      <c r="I192" s="486" t="e">
        <f t="array" aca="1" ref="I192" ca="1">+_xludf.IFS(F192="Vehículo - Uso individual","Auto",F192="Vehículo - Uso compartido","Auto",F192="Transporte público/bus de acercamiento","Bus",F192="Moto","Moto",F192="Bicicleta o caminando","Bicicleta",F192="Ninguno, pues realicé 100% teletrabajo","No aplica",F192="Moto eléctrica","Moto eléctrica",F192="Vehículo eléctrico - Uso Individual","Vehículo eléctrico",F192="Vehículo eléctrico - Uso Compartido","Vehículo eléctrico")</f>
        <v>#NAME?</v>
      </c>
      <c r="J192" s="486">
        <v>1</v>
      </c>
      <c r="K192" s="1324" t="e">
        <f t="shared" ca="1" si="0"/>
        <v>#NAME?</v>
      </c>
      <c r="L192" s="1325">
        <f ca="1">+IFERROR(VLOOKUP(I192,'Factores Emisión EDGE'!$K$267:$L$272,2,0),0)</f>
        <v>0</v>
      </c>
      <c r="M192" s="1325" t="e">
        <f t="shared" ca="1" si="1"/>
        <v>#NAME?</v>
      </c>
      <c r="N192" s="486" t="s">
        <v>3056</v>
      </c>
      <c r="O192" s="1312"/>
      <c r="P192" s="1312"/>
    </row>
    <row r="193" spans="1:16" ht="15.75" customHeight="1">
      <c r="A193" s="1314">
        <v>44939.434357916667</v>
      </c>
      <c r="B193" s="1310" t="s">
        <v>2198</v>
      </c>
      <c r="C193" s="1310" t="s">
        <v>2199</v>
      </c>
      <c r="D193" s="1310" t="s">
        <v>3162</v>
      </c>
      <c r="E193" s="1310" t="s">
        <v>3042</v>
      </c>
      <c r="F193" s="1310" t="s">
        <v>3055</v>
      </c>
      <c r="G193" s="1326">
        <v>20</v>
      </c>
      <c r="H193" s="486" t="e">
        <f t="array" aca="1" ref="H193" ca="1">+_xludf.IFS(E193="100% Presencial",1, E193="20% Teletrabajo (4 días a la semana)",0.8,E193="40% Teletrabajo (3 días a la semana)",0.6,E193="60% Teletrabajo (2 días a la semana)",0.4,E193="80% Teletrabajo (1 día a la semana)",0.2,E193="100% Teletrabajo",0)</f>
        <v>#NAME?</v>
      </c>
      <c r="I193" s="486" t="e">
        <f t="array" aca="1" ref="I193" ca="1">+_xludf.IFS(F193="Vehículo - Uso individual","Auto",F193="Vehículo - Uso compartido","Auto",F193="Transporte público/bus de acercamiento","Bus",F193="Moto","Moto",F193="Bicicleta o caminando","Bicicleta",F193="Ninguno, pues realicé 100% teletrabajo","No aplica",F193="Moto eléctrica","Moto eléctrica",F193="Vehículo eléctrico - Uso Individual","Vehículo eléctrico",F193="Vehículo eléctrico - Uso Compartido","Vehículo eléctrico")</f>
        <v>#NAME?</v>
      </c>
      <c r="J193" s="486">
        <v>1</v>
      </c>
      <c r="K193" s="1324" t="e">
        <f t="shared" ca="1" si="0"/>
        <v>#NAME?</v>
      </c>
      <c r="L193" s="1325">
        <f ca="1">+IFERROR(VLOOKUP(I193,'Factores Emisión EDGE'!$K$267:$L$272,2,0),0)</f>
        <v>0</v>
      </c>
      <c r="M193" s="1325" t="e">
        <f t="shared" ca="1" si="1"/>
        <v>#NAME?</v>
      </c>
      <c r="N193" s="486" t="s">
        <v>3043</v>
      </c>
      <c r="O193" s="1312"/>
      <c r="P193" s="1312"/>
    </row>
    <row r="194" spans="1:16" ht="15.75" customHeight="1">
      <c r="A194" s="1314">
        <v>44939.439269837967</v>
      </c>
      <c r="B194" s="1310" t="s">
        <v>2529</v>
      </c>
      <c r="C194" s="1310" t="s">
        <v>2530</v>
      </c>
      <c r="D194" s="1310" t="s">
        <v>3048</v>
      </c>
      <c r="E194" s="1310" t="s">
        <v>3042</v>
      </c>
      <c r="F194" s="1310" t="s">
        <v>1952</v>
      </c>
      <c r="G194" s="1326">
        <v>20</v>
      </c>
      <c r="H194" s="486" t="e">
        <f t="array" aca="1" ref="H194" ca="1">+_xludf.IFS(E194="100% Presencial",1, E194="20% Teletrabajo (4 días a la semana)",0.8,E194="40% Teletrabajo (3 días a la semana)",0.6,E194="60% Teletrabajo (2 días a la semana)",0.4,E194="80% Teletrabajo (1 día a la semana)",0.2,E194="100% Teletrabajo",0)</f>
        <v>#NAME?</v>
      </c>
      <c r="I194" s="486" t="e">
        <f t="array" aca="1" ref="I194" ca="1">+_xludf.IFS(F194="Vehículo - Uso individual","Auto",F194="Vehículo - Uso compartido","Auto",F194="Transporte público/bus de acercamiento","Bus",F194="Moto","Moto",F194="Bicicleta o caminando","Bicicleta",F194="Ninguno, pues realicé 100% teletrabajo","No aplica",F194="Moto eléctrica","Moto eléctrica",F194="Vehículo eléctrico - Uso Individual","Vehículo eléctrico",F194="Vehículo eléctrico - Uso Compartido","Vehículo eléctrico")</f>
        <v>#NAME?</v>
      </c>
      <c r="J194" s="486">
        <v>1</v>
      </c>
      <c r="K194" s="1324" t="e">
        <f t="shared" ca="1" si="0"/>
        <v>#NAME?</v>
      </c>
      <c r="L194" s="1325">
        <f ca="1">+IFERROR(VLOOKUP(I194,'Factores Emisión EDGE'!$K$267:$L$272,2,0),0)</f>
        <v>0</v>
      </c>
      <c r="M194" s="1325" t="e">
        <f t="shared" ca="1" si="1"/>
        <v>#NAME?</v>
      </c>
      <c r="N194" s="486" t="s">
        <v>3043</v>
      </c>
      <c r="O194" s="1312"/>
      <c r="P194" s="1312"/>
    </row>
    <row r="195" spans="1:16" ht="15.75" customHeight="1">
      <c r="A195" s="1314">
        <v>44939.470880914349</v>
      </c>
      <c r="B195" s="1310" t="s">
        <v>3327</v>
      </c>
      <c r="C195" s="1310" t="s">
        <v>3328</v>
      </c>
      <c r="D195" s="1310" t="s">
        <v>3107</v>
      </c>
      <c r="E195" s="1310" t="s">
        <v>883</v>
      </c>
      <c r="F195" s="1310" t="s">
        <v>863</v>
      </c>
      <c r="G195" s="1326">
        <v>20</v>
      </c>
      <c r="H195" s="486" t="e">
        <f t="array" aca="1" ref="H195" ca="1">+_xludf.IFS(E195="100% Presencial",1, E195="20% Teletrabajo (4 días a la semana)",0.8,E195="40% Teletrabajo (3 días a la semana)",0.6,E195="60% Teletrabajo (2 días a la semana)",0.4,E195="80% Teletrabajo (1 día a la semana)",0.2,E195="100% Teletrabajo",0)</f>
        <v>#NAME?</v>
      </c>
      <c r="I195" s="486" t="e">
        <f t="array" aca="1" ref="I195" ca="1">+_xludf.IFS(F195="Vehículo - Uso individual","Auto",F195="Vehículo - Uso compartido","Auto",F195="Transporte público/bus de acercamiento","Bus",F195="Moto","Moto",F195="Bicicleta o caminando","Bicicleta",F195="Ninguno, pues realicé 100% teletrabajo","No aplica",F195="Moto eléctrica","Moto eléctrica",F195="Vehículo eléctrico - Uso Individual","Vehículo eléctrico",F195="Vehículo eléctrico - Uso Compartido","Vehículo eléctrico")</f>
        <v>#NAME?</v>
      </c>
      <c r="J195" s="486">
        <v>1</v>
      </c>
      <c r="K195" s="1324" t="e">
        <f t="shared" ca="1" si="0"/>
        <v>#NAME?</v>
      </c>
      <c r="L195" s="1325">
        <f ca="1">+IFERROR(VLOOKUP(I195,'Factores Emisión EDGE'!$K$267:$L$272,2,0),0)</f>
        <v>0</v>
      </c>
      <c r="M195" s="1325" t="e">
        <f t="shared" ca="1" si="1"/>
        <v>#NAME?</v>
      </c>
      <c r="N195" s="486" t="s">
        <v>3056</v>
      </c>
      <c r="O195" s="1312"/>
      <c r="P195" s="1312"/>
    </row>
    <row r="196" spans="1:16" ht="15.75" customHeight="1">
      <c r="A196" s="1314">
        <v>44929.536884803238</v>
      </c>
      <c r="B196" s="1310" t="s">
        <v>3329</v>
      </c>
      <c r="C196" s="1310" t="s">
        <v>3330</v>
      </c>
      <c r="D196" s="1310" t="s">
        <v>3265</v>
      </c>
      <c r="E196" s="1310" t="s">
        <v>3066</v>
      </c>
      <c r="F196" s="1310" t="s">
        <v>3055</v>
      </c>
      <c r="G196" s="1326">
        <v>19.100000000000001</v>
      </c>
      <c r="H196" s="486" t="e">
        <f t="array" aca="1" ref="H196" ca="1">+_xludf.IFS(E196="100% Presencial",1, E196="20% Teletrabajo (4 días a la semana)",0.8,E196="40% Teletrabajo (3 días a la semana)",0.6,E196="60% Teletrabajo (2 días a la semana)",0.4,E196="80% Teletrabajo (1 día a la semana)",0.2,E196="100% Teletrabajo",0)</f>
        <v>#NAME?</v>
      </c>
      <c r="I196" s="486" t="e">
        <f t="array" aca="1" ref="I196" ca="1">+_xludf.IFS(F196="Vehículo - Uso individual","Auto",F196="Vehículo - Uso compartido","Auto",F196="Transporte público/bus de acercamiento","Bus",F196="Moto","Moto",F196="Bicicleta o caminando","Bicicleta",F196="Ninguno, pues realicé 100% teletrabajo","No aplica",F196="Moto eléctrica","Moto eléctrica",F196="Vehículo eléctrico - Uso Individual","Vehículo eléctrico",F196="Vehículo eléctrico - Uso Compartido","Vehículo eléctrico")</f>
        <v>#NAME?</v>
      </c>
      <c r="J196" s="486">
        <v>1</v>
      </c>
      <c r="K196" s="1324" t="e">
        <f t="shared" ca="1" si="0"/>
        <v>#NAME?</v>
      </c>
      <c r="L196" s="1325">
        <f ca="1">+IFERROR(VLOOKUP(I196,'Factores Emisión EDGE'!$K$267:$L$272,2,0),0)</f>
        <v>0</v>
      </c>
      <c r="M196" s="1325" t="e">
        <f t="shared" ca="1" si="1"/>
        <v>#NAME?</v>
      </c>
      <c r="N196" s="486" t="s">
        <v>3043</v>
      </c>
      <c r="O196" s="1312"/>
      <c r="P196" s="1312"/>
    </row>
    <row r="197" spans="1:16" ht="15.75" customHeight="1">
      <c r="A197" s="1314">
        <v>44929.487675775468</v>
      </c>
      <c r="B197" s="1310" t="s">
        <v>3331</v>
      </c>
      <c r="C197" s="1310" t="s">
        <v>3332</v>
      </c>
      <c r="D197" s="1310" t="s">
        <v>3048</v>
      </c>
      <c r="E197" s="1310" t="s">
        <v>883</v>
      </c>
      <c r="F197" s="1310" t="s">
        <v>1952</v>
      </c>
      <c r="G197" s="1326">
        <v>19</v>
      </c>
      <c r="H197" s="486" t="e">
        <f t="array" aca="1" ref="H197" ca="1">+_xludf.IFS(E197="100% Presencial",1, E197="20% Teletrabajo (4 días a la semana)",0.8,E197="40% Teletrabajo (3 días a la semana)",0.6,E197="60% Teletrabajo (2 días a la semana)",0.4,E197="80% Teletrabajo (1 día a la semana)",0.2,E197="100% Teletrabajo",0)</f>
        <v>#NAME?</v>
      </c>
      <c r="I197" s="486" t="e">
        <f t="array" aca="1" ref="I197" ca="1">+_xludf.IFS(F197="Vehículo - Uso individual","Auto",F197="Vehículo - Uso compartido","Auto",F197="Transporte público/bus de acercamiento","Bus",F197="Moto","Moto",F197="Bicicleta o caminando","Bicicleta",F197="Ninguno, pues realicé 100% teletrabajo","No aplica",F197="Moto eléctrica","Moto eléctrica",F197="Vehículo eléctrico - Uso Individual","Vehículo eléctrico",F197="Vehículo eléctrico - Uso Compartido","Vehículo eléctrico")</f>
        <v>#NAME?</v>
      </c>
      <c r="J197" s="486">
        <v>1</v>
      </c>
      <c r="K197" s="1324" t="e">
        <f t="shared" ca="1" si="0"/>
        <v>#NAME?</v>
      </c>
      <c r="L197" s="1325">
        <f ca="1">+IFERROR(VLOOKUP(I197,'Factores Emisión EDGE'!$K$267:$L$272,2,0),0)</f>
        <v>0</v>
      </c>
      <c r="M197" s="1325" t="e">
        <f t="shared" ca="1" si="1"/>
        <v>#NAME?</v>
      </c>
      <c r="N197" s="486" t="s">
        <v>3043</v>
      </c>
      <c r="O197" s="1312"/>
      <c r="P197" s="1312"/>
    </row>
    <row r="198" spans="1:16" ht="15.75" customHeight="1">
      <c r="A198" s="1314">
        <v>44929.504690034722</v>
      </c>
      <c r="B198" s="1310" t="s">
        <v>3333</v>
      </c>
      <c r="C198" s="1310" t="s">
        <v>3334</v>
      </c>
      <c r="D198" s="1310" t="s">
        <v>3048</v>
      </c>
      <c r="E198" s="1310" t="s">
        <v>3066</v>
      </c>
      <c r="F198" s="1310" t="s">
        <v>3055</v>
      </c>
      <c r="G198" s="1326">
        <v>19</v>
      </c>
      <c r="H198" s="486" t="e">
        <f t="array" aca="1" ref="H198" ca="1">+_xludf.IFS(E198="100% Presencial",1, E198="20% Teletrabajo (4 días a la semana)",0.8,E198="40% Teletrabajo (3 días a la semana)",0.6,E198="60% Teletrabajo (2 días a la semana)",0.4,E198="80% Teletrabajo (1 día a la semana)",0.2,E198="100% Teletrabajo",0)</f>
        <v>#NAME?</v>
      </c>
      <c r="I198" s="486" t="e">
        <f t="array" aca="1" ref="I198" ca="1">+_xludf.IFS(F198="Vehículo - Uso individual","Auto",F198="Vehículo - Uso compartido","Auto",F198="Transporte público/bus de acercamiento","Bus",F198="Moto","Moto",F198="Bicicleta o caminando","Bicicleta",F198="Ninguno, pues realicé 100% teletrabajo","No aplica",F198="Moto eléctrica","Moto eléctrica",F198="Vehículo eléctrico - Uso Individual","Vehículo eléctrico",F198="Vehículo eléctrico - Uso Compartido","Vehículo eléctrico")</f>
        <v>#NAME?</v>
      </c>
      <c r="J198" s="486">
        <v>1</v>
      </c>
      <c r="K198" s="1324" t="e">
        <f t="shared" ca="1" si="0"/>
        <v>#NAME?</v>
      </c>
      <c r="L198" s="1325">
        <f ca="1">+IFERROR(VLOOKUP(I198,'Factores Emisión EDGE'!$K$267:$L$272,2,0),0)</f>
        <v>0</v>
      </c>
      <c r="M198" s="1325" t="e">
        <f t="shared" ca="1" si="1"/>
        <v>#NAME?</v>
      </c>
      <c r="N198" s="486" t="s">
        <v>3043</v>
      </c>
      <c r="O198" s="1312"/>
      <c r="P198" s="1312"/>
    </row>
    <row r="199" spans="1:16" ht="15.75" customHeight="1">
      <c r="A199" s="1314">
        <v>44938.438896921296</v>
      </c>
      <c r="B199" s="1310" t="s">
        <v>2679</v>
      </c>
      <c r="C199" s="1310" t="s">
        <v>2680</v>
      </c>
      <c r="D199" s="1310" t="s">
        <v>3048</v>
      </c>
      <c r="E199" s="1310" t="s">
        <v>3042</v>
      </c>
      <c r="F199" s="1310" t="s">
        <v>1952</v>
      </c>
      <c r="G199" s="1326">
        <v>19</v>
      </c>
      <c r="H199" s="486" t="e">
        <f t="array" aca="1" ref="H199" ca="1">+_xludf.IFS(E199="100% Presencial",1, E199="20% Teletrabajo (4 días a la semana)",0.8,E199="40% Teletrabajo (3 días a la semana)",0.6,E199="60% Teletrabajo (2 días a la semana)",0.4,E199="80% Teletrabajo (1 día a la semana)",0.2,E199="100% Teletrabajo",0)</f>
        <v>#NAME?</v>
      </c>
      <c r="I199" s="486" t="e">
        <f t="array" aca="1" ref="I199" ca="1">+_xludf.IFS(F199="Vehículo - Uso individual","Auto",F199="Vehículo - Uso compartido","Auto",F199="Transporte público/bus de acercamiento","Bus",F199="Moto","Moto",F199="Bicicleta o caminando","Bicicleta",F199="Ninguno, pues realicé 100% teletrabajo","No aplica",F199="Moto eléctrica","Moto eléctrica",F199="Vehículo eléctrico - Uso Individual","Vehículo eléctrico",F199="Vehículo eléctrico - Uso Compartido","Vehículo eléctrico")</f>
        <v>#NAME?</v>
      </c>
      <c r="J199" s="486">
        <v>1</v>
      </c>
      <c r="K199" s="1324" t="e">
        <f t="shared" ca="1" si="0"/>
        <v>#NAME?</v>
      </c>
      <c r="L199" s="1325">
        <f ca="1">+IFERROR(VLOOKUP(I199,'Factores Emisión EDGE'!$K$267:$L$272,2,0),0)</f>
        <v>0</v>
      </c>
      <c r="M199" s="1325" t="e">
        <f t="shared" ca="1" si="1"/>
        <v>#NAME?</v>
      </c>
      <c r="N199" s="486" t="s">
        <v>3043</v>
      </c>
      <c r="O199" s="1312"/>
      <c r="P199" s="1312"/>
    </row>
    <row r="200" spans="1:16" ht="15.75" customHeight="1">
      <c r="A200" s="1314">
        <v>44930.508828715276</v>
      </c>
      <c r="B200" s="1310" t="s">
        <v>3335</v>
      </c>
      <c r="C200" s="1310" t="s">
        <v>3336</v>
      </c>
      <c r="D200" s="1310" t="s">
        <v>3048</v>
      </c>
      <c r="E200" s="1310" t="s">
        <v>3042</v>
      </c>
      <c r="F200" s="1310" t="s">
        <v>3055</v>
      </c>
      <c r="G200" s="1326">
        <v>18</v>
      </c>
      <c r="H200" s="486" t="e">
        <f t="array" aca="1" ref="H200" ca="1">+_xludf.IFS(E200="100% Presencial",1, E200="20% Teletrabajo (4 días a la semana)",0.8,E200="40% Teletrabajo (3 días a la semana)",0.6,E200="60% Teletrabajo (2 días a la semana)",0.4,E200="80% Teletrabajo (1 día a la semana)",0.2,E200="100% Teletrabajo",0)</f>
        <v>#NAME?</v>
      </c>
      <c r="I200" s="486" t="e">
        <f t="array" aca="1" ref="I200" ca="1">+_xludf.IFS(F200="Vehículo - Uso individual","Auto",F200="Vehículo - Uso compartido","Auto",F200="Transporte público/bus de acercamiento","Bus",F200="Moto","Moto",F200="Bicicleta o caminando","Bicicleta",F200="Ninguno, pues realicé 100% teletrabajo","No aplica",F200="Moto eléctrica","Moto eléctrica",F200="Vehículo eléctrico - Uso Individual","Vehículo eléctrico",F200="Vehículo eléctrico - Uso Compartido","Vehículo eléctrico")</f>
        <v>#NAME?</v>
      </c>
      <c r="J200" s="486">
        <v>1</v>
      </c>
      <c r="K200" s="1324" t="e">
        <f t="shared" ca="1" si="0"/>
        <v>#NAME?</v>
      </c>
      <c r="L200" s="1325">
        <f ca="1">+IFERROR(VLOOKUP(I200,'Factores Emisión EDGE'!$K$267:$L$272,2,0),0)</f>
        <v>0</v>
      </c>
      <c r="M200" s="1325" t="e">
        <f t="shared" ca="1" si="1"/>
        <v>#NAME?</v>
      </c>
      <c r="N200" s="486" t="s">
        <v>3056</v>
      </c>
      <c r="O200" s="1312"/>
      <c r="P200" s="1312"/>
    </row>
    <row r="201" spans="1:16" ht="15.75" customHeight="1">
      <c r="A201" s="1314">
        <v>44929.50406042824</v>
      </c>
      <c r="B201" s="1310" t="s">
        <v>2310</v>
      </c>
      <c r="C201" s="1310" t="s">
        <v>2311</v>
      </c>
      <c r="D201" s="1310" t="s">
        <v>3048</v>
      </c>
      <c r="E201" s="1310" t="s">
        <v>885</v>
      </c>
      <c r="F201" s="1310" t="s">
        <v>1952</v>
      </c>
      <c r="G201" s="1326">
        <v>18</v>
      </c>
      <c r="H201" s="486" t="e">
        <f t="array" aca="1" ref="H201" ca="1">+_xludf.IFS(E201="100% Presencial",1, E201="20% Teletrabajo (4 días a la semana)",0.8,E201="40% Teletrabajo (3 días a la semana)",0.6,E201="60% Teletrabajo (2 días a la semana)",0.4,E201="80% Teletrabajo (1 día a la semana)",0.2,E201="100% Teletrabajo",0)</f>
        <v>#NAME?</v>
      </c>
      <c r="I201" s="486" t="e">
        <f t="array" aca="1" ref="I201" ca="1">+_xludf.IFS(F201="Vehículo - Uso individual","Auto",F201="Vehículo - Uso compartido","Auto",F201="Transporte público/bus de acercamiento","Bus",F201="Moto","Moto",F201="Bicicleta o caminando","Bicicleta",F201="Ninguno, pues realicé 100% teletrabajo","No aplica",F201="Moto eléctrica","Moto eléctrica",F201="Vehículo eléctrico - Uso Individual","Vehículo eléctrico",F201="Vehículo eléctrico - Uso Compartido","Vehículo eléctrico")</f>
        <v>#NAME?</v>
      </c>
      <c r="J201" s="486">
        <v>1</v>
      </c>
      <c r="K201" s="1324" t="e">
        <f t="shared" ca="1" si="0"/>
        <v>#NAME?</v>
      </c>
      <c r="L201" s="1325">
        <f ca="1">+IFERROR(VLOOKUP(I201,'Factores Emisión EDGE'!$K$267:$L$272,2,0),0)</f>
        <v>0</v>
      </c>
      <c r="M201" s="1325" t="e">
        <f t="shared" ca="1" si="1"/>
        <v>#NAME?</v>
      </c>
      <c r="N201" s="486" t="s">
        <v>3043</v>
      </c>
      <c r="O201" s="1312"/>
      <c r="P201" s="1312"/>
    </row>
    <row r="202" spans="1:16" ht="15.75" customHeight="1">
      <c r="A202" s="1314">
        <v>44929.5626552662</v>
      </c>
      <c r="B202" s="1310" t="s">
        <v>2348</v>
      </c>
      <c r="C202" s="1310" t="s">
        <v>2349</v>
      </c>
      <c r="D202" s="1310" t="s">
        <v>3162</v>
      </c>
      <c r="E202" s="1310" t="s">
        <v>3049</v>
      </c>
      <c r="F202" s="1310" t="s">
        <v>863</v>
      </c>
      <c r="G202" s="1326">
        <v>18</v>
      </c>
      <c r="H202" s="486" t="e">
        <f t="array" aca="1" ref="H202" ca="1">+_xludf.IFS(E202="100% Presencial",1, E202="20% Teletrabajo (4 días a la semana)",0.8,E202="40% Teletrabajo (3 días a la semana)",0.6,E202="60% Teletrabajo (2 días a la semana)",0.4,E202="80% Teletrabajo (1 día a la semana)",0.2,E202="100% Teletrabajo",0)</f>
        <v>#NAME?</v>
      </c>
      <c r="I202" s="486" t="e">
        <f t="array" aca="1" ref="I202" ca="1">+_xludf.IFS(F202="Vehículo - Uso individual","Auto",F202="Vehículo - Uso compartido","Auto",F202="Transporte público/bus de acercamiento","Bus",F202="Moto","Moto",F202="Bicicleta o caminando","Bicicleta",F202="Ninguno, pues realicé 100% teletrabajo","No aplica",F202="Moto eléctrica","Moto eléctrica",F202="Vehículo eléctrico - Uso Individual","Vehículo eléctrico",F202="Vehículo eléctrico - Uso Compartido","Vehículo eléctrico")</f>
        <v>#NAME?</v>
      </c>
      <c r="J202" s="486">
        <v>1</v>
      </c>
      <c r="K202" s="1324" t="e">
        <f t="shared" ca="1" si="0"/>
        <v>#NAME?</v>
      </c>
      <c r="L202" s="1325">
        <f ca="1">+IFERROR(VLOOKUP(I202,'Factores Emisión EDGE'!$K$267:$L$272,2,0),0)</f>
        <v>0</v>
      </c>
      <c r="M202" s="1325" t="e">
        <f t="shared" ca="1" si="1"/>
        <v>#NAME?</v>
      </c>
      <c r="N202" s="486" t="s">
        <v>3043</v>
      </c>
      <c r="O202" s="1312"/>
      <c r="P202" s="1312"/>
    </row>
    <row r="203" spans="1:16" ht="15.75" customHeight="1">
      <c r="A203" s="1314">
        <v>44930.554774965276</v>
      </c>
      <c r="B203" s="1310" t="s">
        <v>3337</v>
      </c>
      <c r="C203" s="1310" t="s">
        <v>3338</v>
      </c>
      <c r="D203" s="1310" t="s">
        <v>3048</v>
      </c>
      <c r="E203" s="1310" t="s">
        <v>3042</v>
      </c>
      <c r="F203" s="1310" t="s">
        <v>3055</v>
      </c>
      <c r="G203" s="1326">
        <v>18</v>
      </c>
      <c r="H203" s="486" t="e">
        <f t="array" aca="1" ref="H203" ca="1">+_xludf.IFS(E203="100% Presencial",1, E203="20% Teletrabajo (4 días a la semana)",0.8,E203="40% Teletrabajo (3 días a la semana)",0.6,E203="60% Teletrabajo (2 días a la semana)",0.4,E203="80% Teletrabajo (1 día a la semana)",0.2,E203="100% Teletrabajo",0)</f>
        <v>#NAME?</v>
      </c>
      <c r="I203" s="486" t="e">
        <f t="array" aca="1" ref="I203" ca="1">+_xludf.IFS(F203="Vehículo - Uso individual","Auto",F203="Vehículo - Uso compartido","Auto",F203="Transporte público/bus de acercamiento","Bus",F203="Moto","Moto",F203="Bicicleta o caminando","Bicicleta",F203="Ninguno, pues realicé 100% teletrabajo","No aplica",F203="Moto eléctrica","Moto eléctrica",F203="Vehículo eléctrico - Uso Individual","Vehículo eléctrico",F203="Vehículo eléctrico - Uso Compartido","Vehículo eléctrico")</f>
        <v>#NAME?</v>
      </c>
      <c r="J203" s="486">
        <v>1</v>
      </c>
      <c r="K203" s="1324" t="e">
        <f t="shared" ca="1" si="0"/>
        <v>#NAME?</v>
      </c>
      <c r="L203" s="1325">
        <f ca="1">+IFERROR(VLOOKUP(I203,'Factores Emisión EDGE'!$K$267:$L$272,2,0),0)</f>
        <v>0</v>
      </c>
      <c r="M203" s="1325" t="e">
        <f t="shared" ca="1" si="1"/>
        <v>#NAME?</v>
      </c>
      <c r="N203" s="486" t="s">
        <v>3056</v>
      </c>
      <c r="O203" s="1312"/>
      <c r="P203" s="1312"/>
    </row>
    <row r="204" spans="1:16" ht="15.75" customHeight="1">
      <c r="A204" s="1314">
        <v>44939.504344942128</v>
      </c>
      <c r="B204" s="1310" t="s">
        <v>3339</v>
      </c>
      <c r="C204" s="1310" t="s">
        <v>2116</v>
      </c>
      <c r="D204" s="1310" t="s">
        <v>3048</v>
      </c>
      <c r="E204" s="1310" t="s">
        <v>3066</v>
      </c>
      <c r="F204" s="1310" t="s">
        <v>1952</v>
      </c>
      <c r="G204" s="1326">
        <v>18</v>
      </c>
      <c r="H204" s="486" t="e">
        <f t="array" aca="1" ref="H204" ca="1">+_xludf.IFS(E204="100% Presencial",1, E204="20% Teletrabajo (4 días a la semana)",0.8,E204="40% Teletrabajo (3 días a la semana)",0.6,E204="60% Teletrabajo (2 días a la semana)",0.4,E204="80% Teletrabajo (1 día a la semana)",0.2,E204="100% Teletrabajo",0)</f>
        <v>#NAME?</v>
      </c>
      <c r="I204" s="486" t="e">
        <f t="array" aca="1" ref="I204" ca="1">+_xludf.IFS(F204="Vehículo - Uso individual","Auto",F204="Vehículo - Uso compartido","Auto",F204="Transporte público/bus de acercamiento","Bus",F204="Moto","Moto",F204="Bicicleta o caminando","Bicicleta",F204="Ninguno, pues realicé 100% teletrabajo","No aplica",F204="Moto eléctrica","Moto eléctrica",F204="Vehículo eléctrico - Uso Individual","Vehículo eléctrico",F204="Vehículo eléctrico - Uso Compartido","Vehículo eléctrico")</f>
        <v>#NAME?</v>
      </c>
      <c r="J204" s="486">
        <v>1</v>
      </c>
      <c r="K204" s="1324" t="e">
        <f t="shared" ca="1" si="0"/>
        <v>#NAME?</v>
      </c>
      <c r="L204" s="1325">
        <f ca="1">+IFERROR(VLOOKUP(I204,'Factores Emisión EDGE'!$K$267:$L$272,2,0),0)</f>
        <v>0</v>
      </c>
      <c r="M204" s="1325" t="e">
        <f t="shared" ca="1" si="1"/>
        <v>#NAME?</v>
      </c>
      <c r="N204" s="486" t="s">
        <v>3043</v>
      </c>
      <c r="O204" s="1312"/>
      <c r="P204" s="1312"/>
    </row>
    <row r="205" spans="1:16" ht="15.75" customHeight="1">
      <c r="A205" s="1314">
        <v>44929.483700775461</v>
      </c>
      <c r="B205" s="1310" t="s">
        <v>3340</v>
      </c>
      <c r="C205" s="1310" t="s">
        <v>3341</v>
      </c>
      <c r="D205" s="1310" t="s">
        <v>3133</v>
      </c>
      <c r="E205" s="1310" t="s">
        <v>3042</v>
      </c>
      <c r="F205" s="1310" t="s">
        <v>1952</v>
      </c>
      <c r="G205" s="1326">
        <v>18</v>
      </c>
      <c r="H205" s="486" t="e">
        <f t="array" aca="1" ref="H205" ca="1">+_xludf.IFS(E205="100% Presencial",1, E205="20% Teletrabajo (4 días a la semana)",0.8,E205="40% Teletrabajo (3 días a la semana)",0.6,E205="60% Teletrabajo (2 días a la semana)",0.4,E205="80% Teletrabajo (1 día a la semana)",0.2,E205="100% Teletrabajo",0)</f>
        <v>#NAME?</v>
      </c>
      <c r="I205" s="486" t="e">
        <f t="array" aca="1" ref="I205" ca="1">+_xludf.IFS(F205="Vehículo - Uso individual","Auto",F205="Vehículo - Uso compartido","Auto",F205="Transporte público/bus de acercamiento","Bus",F205="Moto","Moto",F205="Bicicleta o caminando","Bicicleta",F205="Ninguno, pues realicé 100% teletrabajo","No aplica",F205="Moto eléctrica","Moto eléctrica",F205="Vehículo eléctrico - Uso Individual","Vehículo eléctrico",F205="Vehículo eléctrico - Uso Compartido","Vehículo eléctrico")</f>
        <v>#NAME?</v>
      </c>
      <c r="J205" s="486">
        <v>1</v>
      </c>
      <c r="K205" s="1324" t="e">
        <f t="shared" ca="1" si="0"/>
        <v>#NAME?</v>
      </c>
      <c r="L205" s="1325">
        <f ca="1">+IFERROR(VLOOKUP(I205,'Factores Emisión EDGE'!$K$267:$L$272,2,0),0)</f>
        <v>0</v>
      </c>
      <c r="M205" s="1325" t="e">
        <f t="shared" ca="1" si="1"/>
        <v>#NAME?</v>
      </c>
      <c r="N205" s="486" t="s">
        <v>3043</v>
      </c>
      <c r="O205" s="1312"/>
      <c r="P205" s="1312"/>
    </row>
    <row r="206" spans="1:16" ht="15.75" customHeight="1">
      <c r="A206" s="1314">
        <v>44931.663450451393</v>
      </c>
      <c r="B206" s="1310" t="s">
        <v>3342</v>
      </c>
      <c r="C206" s="1310" t="s">
        <v>3343</v>
      </c>
      <c r="D206" s="1310" t="s">
        <v>3048</v>
      </c>
      <c r="E206" s="1310" t="s">
        <v>885</v>
      </c>
      <c r="F206" s="1310" t="s">
        <v>1952</v>
      </c>
      <c r="G206" s="1326">
        <v>18</v>
      </c>
      <c r="H206" s="486" t="e">
        <f t="array" aca="1" ref="H206" ca="1">+_xludf.IFS(E206="100% Presencial",1, E206="20% Teletrabajo (4 días a la semana)",0.8,E206="40% Teletrabajo (3 días a la semana)",0.6,E206="60% Teletrabajo (2 días a la semana)",0.4,E206="80% Teletrabajo (1 día a la semana)",0.2,E206="100% Teletrabajo",0)</f>
        <v>#NAME?</v>
      </c>
      <c r="I206" s="486" t="e">
        <f t="array" aca="1" ref="I206" ca="1">+_xludf.IFS(F206="Vehículo - Uso individual","Auto",F206="Vehículo - Uso compartido","Auto",F206="Transporte público/bus de acercamiento","Bus",F206="Moto","Moto",F206="Bicicleta o caminando","Bicicleta",F206="Ninguno, pues realicé 100% teletrabajo","No aplica",F206="Moto eléctrica","Moto eléctrica",F206="Vehículo eléctrico - Uso Individual","Vehículo eléctrico",F206="Vehículo eléctrico - Uso Compartido","Vehículo eléctrico")</f>
        <v>#NAME?</v>
      </c>
      <c r="J206" s="486">
        <v>1</v>
      </c>
      <c r="K206" s="1324" t="e">
        <f t="shared" ca="1" si="0"/>
        <v>#NAME?</v>
      </c>
      <c r="L206" s="1325">
        <f ca="1">+IFERROR(VLOOKUP(I206,'Factores Emisión EDGE'!$K$267:$L$272,2,0),0)</f>
        <v>0</v>
      </c>
      <c r="M206" s="1325" t="e">
        <f t="shared" ca="1" si="1"/>
        <v>#NAME?</v>
      </c>
      <c r="N206" s="486" t="s">
        <v>3043</v>
      </c>
      <c r="O206" s="1312"/>
      <c r="P206" s="1312"/>
    </row>
    <row r="207" spans="1:16" ht="15.75" customHeight="1">
      <c r="A207" s="1314">
        <v>44938.545738981484</v>
      </c>
      <c r="B207" s="1310" t="s">
        <v>3337</v>
      </c>
      <c r="C207" s="1310" t="s">
        <v>3344</v>
      </c>
      <c r="D207" s="1310" t="s">
        <v>3048</v>
      </c>
      <c r="E207" s="1310" t="s">
        <v>3042</v>
      </c>
      <c r="F207" s="1310" t="s">
        <v>3055</v>
      </c>
      <c r="G207" s="1326">
        <v>18</v>
      </c>
      <c r="H207" s="486" t="e">
        <f t="array" aca="1" ref="H207" ca="1">+_xludf.IFS(E207="100% Presencial",1, E207="20% Teletrabajo (4 días a la semana)",0.8,E207="40% Teletrabajo (3 días a la semana)",0.6,E207="60% Teletrabajo (2 días a la semana)",0.4,E207="80% Teletrabajo (1 día a la semana)",0.2,E207="100% Teletrabajo",0)</f>
        <v>#NAME?</v>
      </c>
      <c r="I207" s="486" t="e">
        <f t="array" aca="1" ref="I207" ca="1">+_xludf.IFS(F207="Vehículo - Uso individual","Auto",F207="Vehículo - Uso compartido","Auto",F207="Transporte público/bus de acercamiento","Bus",F207="Moto","Moto",F207="Bicicleta o caminando","Bicicleta",F207="Ninguno, pues realicé 100% teletrabajo","No aplica",F207="Moto eléctrica","Moto eléctrica",F207="Vehículo eléctrico - Uso Individual","Vehículo eléctrico",F207="Vehículo eléctrico - Uso Compartido","Vehículo eléctrico")</f>
        <v>#NAME?</v>
      </c>
      <c r="J207" s="486">
        <v>1</v>
      </c>
      <c r="K207" s="1324" t="e">
        <f t="shared" ca="1" si="0"/>
        <v>#NAME?</v>
      </c>
      <c r="L207" s="1325">
        <f ca="1">+IFERROR(VLOOKUP(I207,'Factores Emisión EDGE'!$K$267:$L$272,2,0),0)</f>
        <v>0</v>
      </c>
      <c r="M207" s="1325" t="e">
        <f t="shared" ca="1" si="1"/>
        <v>#NAME?</v>
      </c>
      <c r="N207" s="486" t="s">
        <v>3056</v>
      </c>
      <c r="O207" s="1312"/>
      <c r="P207" s="1312"/>
    </row>
    <row r="208" spans="1:16" ht="15.75" customHeight="1">
      <c r="A208" s="1314">
        <v>44938.550223831015</v>
      </c>
      <c r="B208" s="1310" t="s">
        <v>3345</v>
      </c>
      <c r="C208" s="1310" t="s">
        <v>3346</v>
      </c>
      <c r="D208" s="1310" t="s">
        <v>3048</v>
      </c>
      <c r="E208" s="1310" t="s">
        <v>3042</v>
      </c>
      <c r="F208" s="1310" t="s">
        <v>3055</v>
      </c>
      <c r="G208" s="1326">
        <v>18</v>
      </c>
      <c r="H208" s="486" t="e">
        <f t="array" aca="1" ref="H208" ca="1">+_xludf.IFS(E208="100% Presencial",1, E208="20% Teletrabajo (4 días a la semana)",0.8,E208="40% Teletrabajo (3 días a la semana)",0.6,E208="60% Teletrabajo (2 días a la semana)",0.4,E208="80% Teletrabajo (1 día a la semana)",0.2,E208="100% Teletrabajo",0)</f>
        <v>#NAME?</v>
      </c>
      <c r="I208" s="486" t="e">
        <f t="array" aca="1" ref="I208" ca="1">+_xludf.IFS(F208="Vehículo - Uso individual","Auto",F208="Vehículo - Uso compartido","Auto",F208="Transporte público/bus de acercamiento","Bus",F208="Moto","Moto",F208="Bicicleta o caminando","Bicicleta",F208="Ninguno, pues realicé 100% teletrabajo","No aplica",F208="Moto eléctrica","Moto eléctrica",F208="Vehículo eléctrico - Uso Individual","Vehículo eléctrico",F208="Vehículo eléctrico - Uso Compartido","Vehículo eléctrico")</f>
        <v>#NAME?</v>
      </c>
      <c r="J208" s="486">
        <v>1</v>
      </c>
      <c r="K208" s="1324" t="e">
        <f t="shared" ca="1" si="0"/>
        <v>#NAME?</v>
      </c>
      <c r="L208" s="1325">
        <f ca="1">+IFERROR(VLOOKUP(I208,'Factores Emisión EDGE'!$K$267:$L$272,2,0),0)</f>
        <v>0</v>
      </c>
      <c r="M208" s="1325" t="e">
        <f t="shared" ca="1" si="1"/>
        <v>#NAME?</v>
      </c>
      <c r="N208" s="486" t="s">
        <v>3056</v>
      </c>
      <c r="O208" s="1312"/>
      <c r="P208" s="1312"/>
    </row>
    <row r="209" spans="1:16" ht="15.75" customHeight="1">
      <c r="A209" s="1314">
        <v>44939.860402916667</v>
      </c>
      <c r="B209" s="1310" t="s">
        <v>3347</v>
      </c>
      <c r="C209" s="1310" t="s">
        <v>3348</v>
      </c>
      <c r="D209" s="1310" t="s">
        <v>3080</v>
      </c>
      <c r="E209" s="1310" t="s">
        <v>3042</v>
      </c>
      <c r="F209" s="1310" t="s">
        <v>1952</v>
      </c>
      <c r="G209" s="1326">
        <v>18</v>
      </c>
      <c r="H209" s="486" t="e">
        <f t="array" aca="1" ref="H209" ca="1">+_xludf.IFS(E209="100% Presencial",1, E209="20% Teletrabajo (4 días a la semana)",0.8,E209="40% Teletrabajo (3 días a la semana)",0.6,E209="60% Teletrabajo (2 días a la semana)",0.4,E209="80% Teletrabajo (1 día a la semana)",0.2,E209="100% Teletrabajo",0)</f>
        <v>#NAME?</v>
      </c>
      <c r="I209" s="486" t="e">
        <f t="array" aca="1" ref="I209" ca="1">+_xludf.IFS(F209="Vehículo - Uso individual","Auto",F209="Vehículo - Uso compartido","Auto",F209="Transporte público/bus de acercamiento","Bus",F209="Moto","Moto",F209="Bicicleta o caminando","Bicicleta",F209="Ninguno, pues realicé 100% teletrabajo","No aplica",F209="Moto eléctrica","Moto eléctrica",F209="Vehículo eléctrico - Uso Individual","Vehículo eléctrico",F209="Vehículo eléctrico - Uso Compartido","Vehículo eléctrico")</f>
        <v>#NAME?</v>
      </c>
      <c r="J209" s="486">
        <v>1</v>
      </c>
      <c r="K209" s="1324" t="e">
        <f t="shared" ca="1" si="0"/>
        <v>#NAME?</v>
      </c>
      <c r="L209" s="1325">
        <f ca="1">+IFERROR(VLOOKUP(I209,'Factores Emisión EDGE'!$K$267:$L$272,2,0),0)</f>
        <v>0</v>
      </c>
      <c r="M209" s="1325" t="e">
        <f t="shared" ca="1" si="1"/>
        <v>#NAME?</v>
      </c>
      <c r="N209" s="486" t="s">
        <v>3043</v>
      </c>
      <c r="O209" s="1312"/>
      <c r="P209" s="1312"/>
    </row>
    <row r="210" spans="1:16" ht="15.75" customHeight="1">
      <c r="A210" s="1314">
        <v>44929.628868101849</v>
      </c>
      <c r="B210" s="1310" t="s">
        <v>2265</v>
      </c>
      <c r="C210" s="1310" t="s">
        <v>2266</v>
      </c>
      <c r="D210" s="1310" t="s">
        <v>3048</v>
      </c>
      <c r="E210" s="1310" t="s">
        <v>883</v>
      </c>
      <c r="F210" s="1310" t="s">
        <v>1952</v>
      </c>
      <c r="G210" s="1326">
        <v>17.100000000000001</v>
      </c>
      <c r="H210" s="486" t="e">
        <f t="array" aca="1" ref="H210" ca="1">+_xludf.IFS(E210="100% Presencial",1, E210="20% Teletrabajo (4 días a la semana)",0.8,E210="40% Teletrabajo (3 días a la semana)",0.6,E210="60% Teletrabajo (2 días a la semana)",0.4,E210="80% Teletrabajo (1 día a la semana)",0.2,E210="100% Teletrabajo",0)</f>
        <v>#NAME?</v>
      </c>
      <c r="I210" s="486" t="e">
        <f t="array" aca="1" ref="I210" ca="1">+_xludf.IFS(F210="Vehículo - Uso individual","Auto",F210="Vehículo - Uso compartido","Auto",F210="Transporte público/bus de acercamiento","Bus",F210="Moto","Moto",F210="Bicicleta o caminando","Bicicleta",F210="Ninguno, pues realicé 100% teletrabajo","No aplica",F210="Moto eléctrica","Moto eléctrica",F210="Vehículo eléctrico - Uso Individual","Vehículo eléctrico",F210="Vehículo eléctrico - Uso Compartido","Vehículo eléctrico")</f>
        <v>#NAME?</v>
      </c>
      <c r="J210" s="486">
        <v>1</v>
      </c>
      <c r="K210" s="1324" t="e">
        <f t="shared" ca="1" si="0"/>
        <v>#NAME?</v>
      </c>
      <c r="L210" s="1325">
        <f ca="1">+IFERROR(VLOOKUP(I210,'Factores Emisión EDGE'!$K$267:$L$272,2,0),0)</f>
        <v>0</v>
      </c>
      <c r="M210" s="1325" t="e">
        <f t="shared" ca="1" si="1"/>
        <v>#NAME?</v>
      </c>
      <c r="N210" s="486" t="s">
        <v>3043</v>
      </c>
      <c r="O210" s="1312"/>
      <c r="P210" s="1312"/>
    </row>
    <row r="211" spans="1:16" ht="15.75" customHeight="1">
      <c r="A211" s="1314">
        <v>44930.488417129629</v>
      </c>
      <c r="B211" s="1310" t="s">
        <v>3345</v>
      </c>
      <c r="C211" s="1310" t="s">
        <v>3346</v>
      </c>
      <c r="D211" s="1310" t="s">
        <v>3048</v>
      </c>
      <c r="E211" s="1310" t="s">
        <v>3042</v>
      </c>
      <c r="F211" s="1310" t="s">
        <v>3055</v>
      </c>
      <c r="G211" s="1326">
        <v>17</v>
      </c>
      <c r="H211" s="486" t="e">
        <f t="array" aca="1" ref="H211" ca="1">+_xludf.IFS(E211="100% Presencial",1, E211="20% Teletrabajo (4 días a la semana)",0.8,E211="40% Teletrabajo (3 días a la semana)",0.6,E211="60% Teletrabajo (2 días a la semana)",0.4,E211="80% Teletrabajo (1 día a la semana)",0.2,E211="100% Teletrabajo",0)</f>
        <v>#NAME?</v>
      </c>
      <c r="I211" s="486" t="e">
        <f t="array" aca="1" ref="I211" ca="1">+_xludf.IFS(F211="Vehículo - Uso individual","Auto",F211="Vehículo - Uso compartido","Auto",F211="Transporte público/bus de acercamiento","Bus",F211="Moto","Moto",F211="Bicicleta o caminando","Bicicleta",F211="Ninguno, pues realicé 100% teletrabajo","No aplica",F211="Moto eléctrica","Moto eléctrica",F211="Vehículo eléctrico - Uso Individual","Vehículo eléctrico",F211="Vehículo eléctrico - Uso Compartido","Vehículo eléctrico")</f>
        <v>#NAME?</v>
      </c>
      <c r="J211" s="486">
        <v>1</v>
      </c>
      <c r="K211" s="1324" t="e">
        <f t="shared" ca="1" si="0"/>
        <v>#NAME?</v>
      </c>
      <c r="L211" s="1325">
        <f ca="1">+IFERROR(VLOOKUP(I211,'Factores Emisión EDGE'!$K$267:$L$272,2,0),0)</f>
        <v>0</v>
      </c>
      <c r="M211" s="1325" t="e">
        <f t="shared" ca="1" si="1"/>
        <v>#NAME?</v>
      </c>
      <c r="N211" s="486" t="s">
        <v>3056</v>
      </c>
      <c r="O211" s="1312"/>
      <c r="P211" s="1312"/>
    </row>
    <row r="212" spans="1:16" ht="15.75" customHeight="1">
      <c r="A212" s="1314">
        <v>44930.666221701387</v>
      </c>
      <c r="B212" s="1310" t="s">
        <v>2873</v>
      </c>
      <c r="C212" s="1310" t="s">
        <v>2874</v>
      </c>
      <c r="D212" s="1310" t="s">
        <v>3083</v>
      </c>
      <c r="E212" s="1310" t="s">
        <v>3042</v>
      </c>
      <c r="F212" s="1310" t="s">
        <v>1952</v>
      </c>
      <c r="G212" s="1326">
        <v>17</v>
      </c>
      <c r="H212" s="486" t="e">
        <f t="array" aca="1" ref="H212" ca="1">+_xludf.IFS(E212="100% Presencial",1, E212="20% Teletrabajo (4 días a la semana)",0.8,E212="40% Teletrabajo (3 días a la semana)",0.6,E212="60% Teletrabajo (2 días a la semana)",0.4,E212="80% Teletrabajo (1 día a la semana)",0.2,E212="100% Teletrabajo",0)</f>
        <v>#NAME?</v>
      </c>
      <c r="I212" s="486" t="e">
        <f t="array" aca="1" ref="I212" ca="1">+_xludf.IFS(F212="Vehículo - Uso individual","Auto",F212="Vehículo - Uso compartido","Auto",F212="Transporte público/bus de acercamiento","Bus",F212="Moto","Moto",F212="Bicicleta o caminando","Bicicleta",F212="Ninguno, pues realicé 100% teletrabajo","No aplica",F212="Moto eléctrica","Moto eléctrica",F212="Vehículo eléctrico - Uso Individual","Vehículo eléctrico",F212="Vehículo eléctrico - Uso Compartido","Vehículo eléctrico")</f>
        <v>#NAME?</v>
      </c>
      <c r="J212" s="486">
        <v>1</v>
      </c>
      <c r="K212" s="1324" t="e">
        <f t="shared" ca="1" si="0"/>
        <v>#NAME?</v>
      </c>
      <c r="L212" s="1325">
        <f ca="1">+IFERROR(VLOOKUP(I212,'Factores Emisión EDGE'!$K$267:$L$272,2,0),0)</f>
        <v>0</v>
      </c>
      <c r="M212" s="1325" t="e">
        <f t="shared" ca="1" si="1"/>
        <v>#NAME?</v>
      </c>
      <c r="N212" s="486" t="s">
        <v>3056</v>
      </c>
      <c r="O212" s="1312"/>
      <c r="P212" s="1312"/>
    </row>
    <row r="213" spans="1:16" ht="15.75" customHeight="1">
      <c r="A213" s="1314">
        <v>44938.547812673612</v>
      </c>
      <c r="B213" s="1310" t="s">
        <v>3349</v>
      </c>
      <c r="C213" s="1310" t="s">
        <v>2482</v>
      </c>
      <c r="D213" s="1310" t="s">
        <v>3107</v>
      </c>
      <c r="E213" s="1310" t="s">
        <v>3042</v>
      </c>
      <c r="F213" s="1310" t="s">
        <v>3055</v>
      </c>
      <c r="G213" s="1326">
        <v>17</v>
      </c>
      <c r="H213" s="486" t="e">
        <f t="array" aca="1" ref="H213" ca="1">+_xludf.IFS(E213="100% Presencial",1, E213="20% Teletrabajo (4 días a la semana)",0.8,E213="40% Teletrabajo (3 días a la semana)",0.6,E213="60% Teletrabajo (2 días a la semana)",0.4,E213="80% Teletrabajo (1 día a la semana)",0.2,E213="100% Teletrabajo",0)</f>
        <v>#NAME?</v>
      </c>
      <c r="I213" s="486" t="e">
        <f t="array" aca="1" ref="I213" ca="1">+_xludf.IFS(F213="Vehículo - Uso individual","Auto",F213="Vehículo - Uso compartido","Auto",F213="Transporte público/bus de acercamiento","Bus",F213="Moto","Moto",F213="Bicicleta o caminando","Bicicleta",F213="Ninguno, pues realicé 100% teletrabajo","No aplica",F213="Moto eléctrica","Moto eléctrica",F213="Vehículo eléctrico - Uso Individual","Vehículo eléctrico",F213="Vehículo eléctrico - Uso Compartido","Vehículo eléctrico")</f>
        <v>#NAME?</v>
      </c>
      <c r="J213" s="486">
        <v>1</v>
      </c>
      <c r="K213" s="1324" t="e">
        <f t="shared" ca="1" si="0"/>
        <v>#NAME?</v>
      </c>
      <c r="L213" s="1325">
        <f ca="1">+IFERROR(VLOOKUP(I213,'Factores Emisión EDGE'!$K$267:$L$272,2,0),0)</f>
        <v>0</v>
      </c>
      <c r="M213" s="1325" t="e">
        <f t="shared" ca="1" si="1"/>
        <v>#NAME?</v>
      </c>
      <c r="N213" s="486" t="s">
        <v>3056</v>
      </c>
      <c r="O213" s="1312"/>
      <c r="P213" s="1312"/>
    </row>
    <row r="214" spans="1:16" ht="15.75" customHeight="1">
      <c r="A214" s="1314">
        <v>44929.543009016204</v>
      </c>
      <c r="B214" s="1310" t="s">
        <v>3350</v>
      </c>
      <c r="C214" s="1310" t="s">
        <v>1980</v>
      </c>
      <c r="D214" s="1310" t="s">
        <v>3048</v>
      </c>
      <c r="E214" s="1310" t="s">
        <v>881</v>
      </c>
      <c r="F214" s="1310" t="s">
        <v>1952</v>
      </c>
      <c r="G214" s="1326">
        <v>17</v>
      </c>
      <c r="H214" s="486" t="e">
        <f t="array" aca="1" ref="H214" ca="1">+_xludf.IFS(E214="100% Presencial",1, E214="20% Teletrabajo (4 días a la semana)",0.8,E214="40% Teletrabajo (3 días a la semana)",0.6,E214="60% Teletrabajo (2 días a la semana)",0.4,E214="80% Teletrabajo (1 día a la semana)",0.2,E214="100% Teletrabajo",0)</f>
        <v>#NAME?</v>
      </c>
      <c r="I214" s="486" t="e">
        <f t="array" aca="1" ref="I214" ca="1">+_xludf.IFS(F214="Vehículo - Uso individual","Auto",F214="Vehículo - Uso compartido","Auto",F214="Transporte público/bus de acercamiento","Bus",F214="Moto","Moto",F214="Bicicleta o caminando","Bicicleta",F214="Ninguno, pues realicé 100% teletrabajo","No aplica",F214="Moto eléctrica","Moto eléctrica",F214="Vehículo eléctrico - Uso Individual","Vehículo eléctrico",F214="Vehículo eléctrico - Uso Compartido","Vehículo eléctrico")</f>
        <v>#NAME?</v>
      </c>
      <c r="J214" s="486">
        <v>1</v>
      </c>
      <c r="K214" s="1324" t="e">
        <f t="shared" ca="1" si="0"/>
        <v>#NAME?</v>
      </c>
      <c r="L214" s="1325">
        <f ca="1">+IFERROR(VLOOKUP(I214,'Factores Emisión EDGE'!$K$267:$L$272,2,0),0)</f>
        <v>0</v>
      </c>
      <c r="M214" s="1325" t="e">
        <f t="shared" ca="1" si="1"/>
        <v>#NAME?</v>
      </c>
      <c r="N214" s="486" t="s">
        <v>3043</v>
      </c>
      <c r="O214" s="1312"/>
      <c r="P214" s="1312"/>
    </row>
    <row r="215" spans="1:16" ht="15.75" customHeight="1">
      <c r="A215" s="1314">
        <v>44929.5610853588</v>
      </c>
      <c r="B215" s="1310" t="s">
        <v>158</v>
      </c>
      <c r="C215" s="1310" t="s">
        <v>3351</v>
      </c>
      <c r="D215" s="1310" t="s">
        <v>3048</v>
      </c>
      <c r="E215" s="1310" t="s">
        <v>883</v>
      </c>
      <c r="F215" s="1310" t="s">
        <v>1952</v>
      </c>
      <c r="G215" s="1326">
        <v>17</v>
      </c>
      <c r="H215" s="486" t="e">
        <f t="array" aca="1" ref="H215" ca="1">+_xludf.IFS(E215="100% Presencial",1, E215="20% Teletrabajo (4 días a la semana)",0.8,E215="40% Teletrabajo (3 días a la semana)",0.6,E215="60% Teletrabajo (2 días a la semana)",0.4,E215="80% Teletrabajo (1 día a la semana)",0.2,E215="100% Teletrabajo",0)</f>
        <v>#NAME?</v>
      </c>
      <c r="I215" s="486" t="e">
        <f t="array" aca="1" ref="I215" ca="1">+_xludf.IFS(F215="Vehículo - Uso individual","Auto",F215="Vehículo - Uso compartido","Auto",F215="Transporte público/bus de acercamiento","Bus",F215="Moto","Moto",F215="Bicicleta o caminando","Bicicleta",F215="Ninguno, pues realicé 100% teletrabajo","No aplica",F215="Moto eléctrica","Moto eléctrica",F215="Vehículo eléctrico - Uso Individual","Vehículo eléctrico",F215="Vehículo eléctrico - Uso Compartido","Vehículo eléctrico")</f>
        <v>#NAME?</v>
      </c>
      <c r="J215" s="486">
        <v>1</v>
      </c>
      <c r="K215" s="1324" t="e">
        <f t="shared" ca="1" si="0"/>
        <v>#NAME?</v>
      </c>
      <c r="L215" s="1325">
        <f ca="1">+IFERROR(VLOOKUP(I215,'Factores Emisión EDGE'!$K$267:$L$272,2,0),0)</f>
        <v>0</v>
      </c>
      <c r="M215" s="1325" t="e">
        <f t="shared" ca="1" si="1"/>
        <v>#NAME?</v>
      </c>
      <c r="N215" s="486" t="s">
        <v>3043</v>
      </c>
      <c r="O215" s="1312"/>
      <c r="P215" s="1312"/>
    </row>
    <row r="216" spans="1:16" ht="15.75" customHeight="1">
      <c r="A216" s="1314">
        <v>44936.659648275461</v>
      </c>
      <c r="B216" s="1310" t="s">
        <v>3352</v>
      </c>
      <c r="C216" s="1310" t="s">
        <v>3353</v>
      </c>
      <c r="D216" s="1310" t="s">
        <v>3048</v>
      </c>
      <c r="E216" s="1310" t="s">
        <v>3066</v>
      </c>
      <c r="F216" s="1310" t="s">
        <v>3055</v>
      </c>
      <c r="G216" s="1326">
        <v>17</v>
      </c>
      <c r="H216" s="486" t="e">
        <f t="array" aca="1" ref="H216" ca="1">+_xludf.IFS(E216="100% Presencial",1, E216="20% Teletrabajo (4 días a la semana)",0.8,E216="40% Teletrabajo (3 días a la semana)",0.6,E216="60% Teletrabajo (2 días a la semana)",0.4,E216="80% Teletrabajo (1 día a la semana)",0.2,E216="100% Teletrabajo",0)</f>
        <v>#NAME?</v>
      </c>
      <c r="I216" s="486" t="e">
        <f t="array" aca="1" ref="I216" ca="1">+_xludf.IFS(F216="Vehículo - Uso individual","Auto",F216="Vehículo - Uso compartido","Auto",F216="Transporte público/bus de acercamiento","Bus",F216="Moto","Moto",F216="Bicicleta o caminando","Bicicleta",F216="Ninguno, pues realicé 100% teletrabajo","No aplica",F216="Moto eléctrica","Moto eléctrica",F216="Vehículo eléctrico - Uso Individual","Vehículo eléctrico",F216="Vehículo eléctrico - Uso Compartido","Vehículo eléctrico")</f>
        <v>#NAME?</v>
      </c>
      <c r="J216" s="486">
        <v>1</v>
      </c>
      <c r="K216" s="1324" t="e">
        <f t="shared" ca="1" si="0"/>
        <v>#NAME?</v>
      </c>
      <c r="L216" s="1325">
        <f ca="1">+IFERROR(VLOOKUP(I216,'Factores Emisión EDGE'!$K$267:$L$272,2,0),0)</f>
        <v>0</v>
      </c>
      <c r="M216" s="1325" t="e">
        <f t="shared" ca="1" si="1"/>
        <v>#NAME?</v>
      </c>
      <c r="N216" s="486" t="s">
        <v>3043</v>
      </c>
      <c r="O216" s="1312"/>
      <c r="P216" s="1312"/>
    </row>
    <row r="217" spans="1:16" ht="15.75" customHeight="1">
      <c r="A217" s="1314">
        <v>44938.641611585648</v>
      </c>
      <c r="B217" s="1310" t="s">
        <v>3354</v>
      </c>
      <c r="C217" s="1310" t="s">
        <v>3355</v>
      </c>
      <c r="D217" s="1310" t="s">
        <v>3048</v>
      </c>
      <c r="E217" s="1310" t="s">
        <v>885</v>
      </c>
      <c r="F217" s="1310" t="s">
        <v>1995</v>
      </c>
      <c r="G217" s="1326">
        <v>17</v>
      </c>
      <c r="H217" s="486" t="e">
        <f t="array" aca="1" ref="H217" ca="1">+_xludf.IFS(E217="100% Presencial",1, E217="20% Teletrabajo (4 días a la semana)",0.8,E217="40% Teletrabajo (3 días a la semana)",0.6,E217="60% Teletrabajo (2 días a la semana)",0.4,E217="80% Teletrabajo (1 día a la semana)",0.2,E217="100% Teletrabajo",0)</f>
        <v>#NAME?</v>
      </c>
      <c r="I217" s="486" t="e">
        <f t="array" aca="1" ref="I217" ca="1">+_xludf.IFS(F217="Vehículo - Uso individual","Auto",F217="Vehículo - Uso compartido","Auto",F217="Transporte público/bus de acercamiento","Bus",F217="Moto","Moto",F217="Bicicleta o caminando","Bicicleta",F217="Ninguno, pues realicé 100% teletrabajo","No aplica",F217="Moto eléctrica","Moto eléctrica",F217="Vehículo eléctrico - Uso Individual","Vehículo eléctrico",F217="Vehículo eléctrico - Uso Compartido","Vehículo eléctrico")</f>
        <v>#NAME?</v>
      </c>
      <c r="J217" s="486">
        <v>0.25</v>
      </c>
      <c r="K217" s="1324" t="e">
        <f t="shared" ca="1" si="0"/>
        <v>#NAME?</v>
      </c>
      <c r="L217" s="1325">
        <f ca="1">+IFERROR(VLOOKUP(I217,'Factores Emisión EDGE'!$K$267:$L$272,2,0),0)</f>
        <v>0</v>
      </c>
      <c r="M217" s="1325" t="e">
        <f t="shared" ca="1" si="1"/>
        <v>#NAME?</v>
      </c>
      <c r="N217" s="486" t="s">
        <v>3056</v>
      </c>
      <c r="O217" s="1312"/>
      <c r="P217" s="1312"/>
    </row>
    <row r="218" spans="1:16" ht="15.75" customHeight="1">
      <c r="A218" s="1314">
        <v>44929.504551678241</v>
      </c>
      <c r="B218" s="1310" t="s">
        <v>3356</v>
      </c>
      <c r="C218" s="1310" t="s">
        <v>2131</v>
      </c>
      <c r="D218" s="1310" t="s">
        <v>3048</v>
      </c>
      <c r="E218" s="1310" t="s">
        <v>885</v>
      </c>
      <c r="F218" s="1310" t="s">
        <v>1952</v>
      </c>
      <c r="G218" s="1326">
        <v>16</v>
      </c>
      <c r="H218" s="486" t="e">
        <f t="array" aca="1" ref="H218" ca="1">+_xludf.IFS(E218="100% Presencial",1, E218="20% Teletrabajo (4 días a la semana)",0.8,E218="40% Teletrabajo (3 días a la semana)",0.6,E218="60% Teletrabajo (2 días a la semana)",0.4,E218="80% Teletrabajo (1 día a la semana)",0.2,E218="100% Teletrabajo",0)</f>
        <v>#NAME?</v>
      </c>
      <c r="I218" s="486" t="e">
        <f t="array" aca="1" ref="I218" ca="1">+_xludf.IFS(F218="Vehículo - Uso individual","Auto",F218="Vehículo - Uso compartido","Auto",F218="Transporte público/bus de acercamiento","Bus",F218="Moto","Moto",F218="Bicicleta o caminando","Bicicleta",F218="Ninguno, pues realicé 100% teletrabajo","No aplica",F218="Moto eléctrica","Moto eléctrica",F218="Vehículo eléctrico - Uso Individual","Vehículo eléctrico",F218="Vehículo eléctrico - Uso Compartido","Vehículo eléctrico")</f>
        <v>#NAME?</v>
      </c>
      <c r="J218" s="486">
        <v>1</v>
      </c>
      <c r="K218" s="1324" t="e">
        <f t="shared" ca="1" si="0"/>
        <v>#NAME?</v>
      </c>
      <c r="L218" s="1325">
        <f ca="1">+IFERROR(VLOOKUP(I218,'Factores Emisión EDGE'!$K$267:$L$272,2,0),0)</f>
        <v>0</v>
      </c>
      <c r="M218" s="1325" t="e">
        <f t="shared" ca="1" si="1"/>
        <v>#NAME?</v>
      </c>
      <c r="N218" s="486" t="s">
        <v>3043</v>
      </c>
      <c r="O218" s="1312"/>
      <c r="P218" s="1312"/>
    </row>
    <row r="219" spans="1:16" ht="15.75" customHeight="1">
      <c r="A219" s="1314">
        <v>44929.633975393517</v>
      </c>
      <c r="B219" s="1310" t="s">
        <v>3357</v>
      </c>
      <c r="C219" s="1310" t="s">
        <v>3358</v>
      </c>
      <c r="D219" s="1310" t="s">
        <v>3107</v>
      </c>
      <c r="E219" s="1310" t="s">
        <v>3042</v>
      </c>
      <c r="F219" s="1310" t="s">
        <v>1952</v>
      </c>
      <c r="G219" s="1326">
        <v>16</v>
      </c>
      <c r="H219" s="486" t="e">
        <f t="array" aca="1" ref="H219" ca="1">+_xludf.IFS(E219="100% Presencial",1, E219="20% Teletrabajo (4 días a la semana)",0.8,E219="40% Teletrabajo (3 días a la semana)",0.6,E219="60% Teletrabajo (2 días a la semana)",0.4,E219="80% Teletrabajo (1 día a la semana)",0.2,E219="100% Teletrabajo",0)</f>
        <v>#NAME?</v>
      </c>
      <c r="I219" s="486" t="e">
        <f t="array" aca="1" ref="I219" ca="1">+_xludf.IFS(F219="Vehículo - Uso individual","Auto",F219="Vehículo - Uso compartido","Auto",F219="Transporte público/bus de acercamiento","Bus",F219="Moto","Moto",F219="Bicicleta o caminando","Bicicleta",F219="Ninguno, pues realicé 100% teletrabajo","No aplica",F219="Moto eléctrica","Moto eléctrica",F219="Vehículo eléctrico - Uso Individual","Vehículo eléctrico",F219="Vehículo eléctrico - Uso Compartido","Vehículo eléctrico")</f>
        <v>#NAME?</v>
      </c>
      <c r="J219" s="486">
        <v>1</v>
      </c>
      <c r="K219" s="1324" t="e">
        <f t="shared" ca="1" si="0"/>
        <v>#NAME?</v>
      </c>
      <c r="L219" s="1325">
        <f ca="1">+IFERROR(VLOOKUP(I219,'Factores Emisión EDGE'!$K$267:$L$272,2,0),0)</f>
        <v>0</v>
      </c>
      <c r="M219" s="1325" t="e">
        <f t="shared" ca="1" si="1"/>
        <v>#NAME?</v>
      </c>
      <c r="N219" s="486" t="s">
        <v>3043</v>
      </c>
      <c r="O219" s="1312"/>
      <c r="P219" s="1312"/>
    </row>
    <row r="220" spans="1:16" ht="15.75" customHeight="1">
      <c r="A220" s="1314">
        <v>44931.676639363424</v>
      </c>
      <c r="B220" s="1310" t="s">
        <v>3359</v>
      </c>
      <c r="C220" s="1310" t="s">
        <v>3360</v>
      </c>
      <c r="D220" s="1310" t="s">
        <v>3048</v>
      </c>
      <c r="E220" s="1310" t="s">
        <v>885</v>
      </c>
      <c r="F220" s="1310" t="s">
        <v>1995</v>
      </c>
      <c r="G220" s="1326">
        <v>16</v>
      </c>
      <c r="H220" s="486" t="e">
        <f t="array" aca="1" ref="H220" ca="1">+_xludf.IFS(E220="100% Presencial",1, E220="20% Teletrabajo (4 días a la semana)",0.8,E220="40% Teletrabajo (3 días a la semana)",0.6,E220="60% Teletrabajo (2 días a la semana)",0.4,E220="80% Teletrabajo (1 día a la semana)",0.2,E220="100% Teletrabajo",0)</f>
        <v>#NAME?</v>
      </c>
      <c r="I220" s="486" t="e">
        <f t="array" aca="1" ref="I220" ca="1">+_xludf.IFS(F220="Vehículo - Uso individual","Auto",F220="Vehículo - Uso compartido","Auto",F220="Transporte público/bus de acercamiento","Bus",F220="Moto","Moto",F220="Bicicleta o caminando","Bicicleta",F220="Ninguno, pues realicé 100% teletrabajo","No aplica",F220="Moto eléctrica","Moto eléctrica",F220="Vehículo eléctrico - Uso Individual","Vehículo eléctrico",F220="Vehículo eléctrico - Uso Compartido","Vehículo eléctrico")</f>
        <v>#NAME?</v>
      </c>
      <c r="J220" s="486">
        <v>0.25</v>
      </c>
      <c r="K220" s="1324" t="e">
        <f t="shared" ca="1" si="0"/>
        <v>#NAME?</v>
      </c>
      <c r="L220" s="1325">
        <f ca="1">+IFERROR(VLOOKUP(I220,'Factores Emisión EDGE'!$K$267:$L$272,2,0),0)</f>
        <v>0</v>
      </c>
      <c r="M220" s="1325" t="e">
        <f t="shared" ca="1" si="1"/>
        <v>#NAME?</v>
      </c>
      <c r="N220" s="486" t="s">
        <v>3043</v>
      </c>
      <c r="O220" s="1312"/>
      <c r="P220" s="1312"/>
    </row>
    <row r="221" spans="1:16" ht="15.75" customHeight="1">
      <c r="A221" s="1314">
        <v>44930.45398121528</v>
      </c>
      <c r="B221" s="1310" t="s">
        <v>3361</v>
      </c>
      <c r="C221" s="1310" t="s">
        <v>3362</v>
      </c>
      <c r="D221" s="1310" t="s">
        <v>3048</v>
      </c>
      <c r="E221" s="1310" t="s">
        <v>3042</v>
      </c>
      <c r="F221" s="1310" t="s">
        <v>1995</v>
      </c>
      <c r="G221" s="1326">
        <v>16</v>
      </c>
      <c r="H221" s="486" t="e">
        <f t="array" aca="1" ref="H221" ca="1">+_xludf.IFS(E221="100% Presencial",1, E221="20% Teletrabajo (4 días a la semana)",0.8,E221="40% Teletrabajo (3 días a la semana)",0.6,E221="60% Teletrabajo (2 días a la semana)",0.4,E221="80% Teletrabajo (1 día a la semana)",0.2,E221="100% Teletrabajo",0)</f>
        <v>#NAME?</v>
      </c>
      <c r="I221" s="486" t="e">
        <f t="array" aca="1" ref="I221" ca="1">+_xludf.IFS(F221="Vehículo - Uso individual","Auto",F221="Vehículo - Uso compartido","Auto",F221="Transporte público/bus de acercamiento","Bus",F221="Moto","Moto",F221="Bicicleta o caminando","Bicicleta",F221="Ninguno, pues realicé 100% teletrabajo","No aplica",F221="Moto eléctrica","Moto eléctrica",F221="Vehículo eléctrico - Uso Individual","Vehículo eléctrico",F221="Vehículo eléctrico - Uso Compartido","Vehículo eléctrico")</f>
        <v>#NAME?</v>
      </c>
      <c r="J221" s="486">
        <v>0.25</v>
      </c>
      <c r="K221" s="1324" t="e">
        <f t="shared" ca="1" si="0"/>
        <v>#NAME?</v>
      </c>
      <c r="L221" s="1325">
        <f ca="1">+IFERROR(VLOOKUP(I221,'Factores Emisión EDGE'!$K$267:$L$272,2,0),0)</f>
        <v>0</v>
      </c>
      <c r="M221" s="1325" t="e">
        <f t="shared" ca="1" si="1"/>
        <v>#NAME?</v>
      </c>
      <c r="N221" s="486" t="s">
        <v>3056</v>
      </c>
      <c r="O221" s="1312"/>
      <c r="P221" s="1312"/>
    </row>
    <row r="222" spans="1:16" ht="15.75" customHeight="1">
      <c r="A222" s="1314">
        <v>44929.487096168981</v>
      </c>
      <c r="B222" s="1310" t="s">
        <v>2538</v>
      </c>
      <c r="C222" s="1310" t="s">
        <v>2135</v>
      </c>
      <c r="D222" s="1310" t="s">
        <v>3048</v>
      </c>
      <c r="E222" s="1310" t="s">
        <v>3049</v>
      </c>
      <c r="F222" s="1310" t="s">
        <v>1952</v>
      </c>
      <c r="G222" s="1326">
        <v>16</v>
      </c>
      <c r="H222" s="486" t="e">
        <f t="array" aca="1" ref="H222" ca="1">+_xludf.IFS(E222="100% Presencial",1, E222="20% Teletrabajo (4 días a la semana)",0.8,E222="40% Teletrabajo (3 días a la semana)",0.6,E222="60% Teletrabajo (2 días a la semana)",0.4,E222="80% Teletrabajo (1 día a la semana)",0.2,E222="100% Teletrabajo",0)</f>
        <v>#NAME?</v>
      </c>
      <c r="I222" s="486" t="e">
        <f t="array" aca="1" ref="I222" ca="1">+_xludf.IFS(F222="Vehículo - Uso individual","Auto",F222="Vehículo - Uso compartido","Auto",F222="Transporte público/bus de acercamiento","Bus",F222="Moto","Moto",F222="Bicicleta o caminando","Bicicleta",F222="Ninguno, pues realicé 100% teletrabajo","No aplica",F222="Moto eléctrica","Moto eléctrica",F222="Vehículo eléctrico - Uso Individual","Vehículo eléctrico",F222="Vehículo eléctrico - Uso Compartido","Vehículo eléctrico")</f>
        <v>#NAME?</v>
      </c>
      <c r="J222" s="486">
        <v>1</v>
      </c>
      <c r="K222" s="1324" t="e">
        <f t="shared" ca="1" si="0"/>
        <v>#NAME?</v>
      </c>
      <c r="L222" s="1325">
        <f ca="1">+IFERROR(VLOOKUP(I222,'Factores Emisión EDGE'!$K$267:$L$272,2,0),0)</f>
        <v>0</v>
      </c>
      <c r="M222" s="1325" t="e">
        <f t="shared" ca="1" si="1"/>
        <v>#NAME?</v>
      </c>
      <c r="N222" s="486" t="s">
        <v>3043</v>
      </c>
      <c r="O222" s="1312"/>
      <c r="P222" s="1312"/>
    </row>
    <row r="223" spans="1:16" ht="15.75" customHeight="1">
      <c r="A223" s="1314">
        <v>44930.75298881944</v>
      </c>
      <c r="B223" s="1310" t="s">
        <v>3363</v>
      </c>
      <c r="C223" s="1310" t="s">
        <v>3364</v>
      </c>
      <c r="D223" s="1310" t="s">
        <v>3063</v>
      </c>
      <c r="E223" s="1310" t="s">
        <v>3042</v>
      </c>
      <c r="F223" s="1310" t="s">
        <v>1952</v>
      </c>
      <c r="G223" s="1326">
        <v>16</v>
      </c>
      <c r="H223" s="486" t="e">
        <f t="array" aca="1" ref="H223" ca="1">+_xludf.IFS(E223="100% Presencial",1, E223="20% Teletrabajo (4 días a la semana)",0.8,E223="40% Teletrabajo (3 días a la semana)",0.6,E223="60% Teletrabajo (2 días a la semana)",0.4,E223="80% Teletrabajo (1 día a la semana)",0.2,E223="100% Teletrabajo",0)</f>
        <v>#NAME?</v>
      </c>
      <c r="I223" s="486" t="e">
        <f t="array" aca="1" ref="I223" ca="1">+_xludf.IFS(F223="Vehículo - Uso individual","Auto",F223="Vehículo - Uso compartido","Auto",F223="Transporte público/bus de acercamiento","Bus",F223="Moto","Moto",F223="Bicicleta o caminando","Bicicleta",F223="Ninguno, pues realicé 100% teletrabajo","No aplica",F223="Moto eléctrica","Moto eléctrica",F223="Vehículo eléctrico - Uso Individual","Vehículo eléctrico",F223="Vehículo eléctrico - Uso Compartido","Vehículo eléctrico")</f>
        <v>#NAME?</v>
      </c>
      <c r="J223" s="486">
        <v>1</v>
      </c>
      <c r="K223" s="1324" t="e">
        <f t="shared" ca="1" si="0"/>
        <v>#NAME?</v>
      </c>
      <c r="L223" s="1325">
        <f ca="1">+IFERROR(VLOOKUP(I223,'Factores Emisión EDGE'!$K$267:$L$272,2,0),0)</f>
        <v>0</v>
      </c>
      <c r="M223" s="1325" t="e">
        <f t="shared" ca="1" si="1"/>
        <v>#NAME?</v>
      </c>
      <c r="N223" s="486" t="s">
        <v>3056</v>
      </c>
      <c r="O223" s="1312"/>
      <c r="P223" s="1312"/>
    </row>
    <row r="224" spans="1:16" ht="15.75" customHeight="1">
      <c r="A224" s="1314">
        <v>44937.657130486114</v>
      </c>
      <c r="B224" s="1310" t="s">
        <v>3365</v>
      </c>
      <c r="C224" s="1310" t="s">
        <v>3366</v>
      </c>
      <c r="D224" s="1310" t="s">
        <v>3107</v>
      </c>
      <c r="E224" s="1310" t="s">
        <v>3042</v>
      </c>
      <c r="F224" s="1310" t="s">
        <v>1995</v>
      </c>
      <c r="G224" s="1326">
        <v>15.5</v>
      </c>
      <c r="H224" s="486" t="e">
        <f t="array" aca="1" ref="H224" ca="1">+_xludf.IFS(E224="100% Presencial",1, E224="20% Teletrabajo (4 días a la semana)",0.8,E224="40% Teletrabajo (3 días a la semana)",0.6,E224="60% Teletrabajo (2 días a la semana)",0.4,E224="80% Teletrabajo (1 día a la semana)",0.2,E224="100% Teletrabajo",0)</f>
        <v>#NAME?</v>
      </c>
      <c r="I224" s="486" t="e">
        <f t="array" aca="1" ref="I224" ca="1">+_xludf.IFS(F224="Vehículo - Uso individual","Auto",F224="Vehículo - Uso compartido","Auto",F224="Transporte público/bus de acercamiento","Bus",F224="Moto","Moto",F224="Bicicleta o caminando","Bicicleta",F224="Ninguno, pues realicé 100% teletrabajo","No aplica",F224="Moto eléctrica","Moto eléctrica",F224="Vehículo eléctrico - Uso Individual","Vehículo eléctrico",F224="Vehículo eléctrico - Uso Compartido","Vehículo eléctrico")</f>
        <v>#NAME?</v>
      </c>
      <c r="J224" s="486">
        <v>0.25</v>
      </c>
      <c r="K224" s="1324" t="e">
        <f t="shared" ca="1" si="0"/>
        <v>#NAME?</v>
      </c>
      <c r="L224" s="1325">
        <f ca="1">+IFERROR(VLOOKUP(I224,'Factores Emisión EDGE'!$K$267:$L$272,2,0),0)</f>
        <v>0</v>
      </c>
      <c r="M224" s="1325" t="e">
        <f t="shared" ca="1" si="1"/>
        <v>#NAME?</v>
      </c>
      <c r="N224" s="486" t="s">
        <v>3056</v>
      </c>
      <c r="O224" s="1312"/>
      <c r="P224" s="1312"/>
    </row>
    <row r="225" spans="1:16" ht="15.75" customHeight="1">
      <c r="A225" s="1314">
        <v>44939.410887719903</v>
      </c>
      <c r="B225" s="1310" t="s">
        <v>3367</v>
      </c>
      <c r="C225" s="1310" t="s">
        <v>3368</v>
      </c>
      <c r="D225" s="1310" t="s">
        <v>3133</v>
      </c>
      <c r="E225" s="1310" t="s">
        <v>3042</v>
      </c>
      <c r="F225" s="1310" t="s">
        <v>1952</v>
      </c>
      <c r="G225" s="1326">
        <v>15</v>
      </c>
      <c r="H225" s="486" t="e">
        <f t="array" aca="1" ref="H225" ca="1">+_xludf.IFS(E225="100% Presencial",1, E225="20% Teletrabajo (4 días a la semana)",0.8,E225="40% Teletrabajo (3 días a la semana)",0.6,E225="60% Teletrabajo (2 días a la semana)",0.4,E225="80% Teletrabajo (1 día a la semana)",0.2,E225="100% Teletrabajo",0)</f>
        <v>#NAME?</v>
      </c>
      <c r="I225" s="486" t="e">
        <f t="array" aca="1" ref="I225" ca="1">+_xludf.IFS(F225="Vehículo - Uso individual","Auto",F225="Vehículo - Uso compartido","Auto",F225="Transporte público/bus de acercamiento","Bus",F225="Moto","Moto",F225="Bicicleta o caminando","Bicicleta",F225="Ninguno, pues realicé 100% teletrabajo","No aplica",F225="Moto eléctrica","Moto eléctrica",F225="Vehículo eléctrico - Uso Individual","Vehículo eléctrico",F225="Vehículo eléctrico - Uso Compartido","Vehículo eléctrico")</f>
        <v>#NAME?</v>
      </c>
      <c r="J225" s="486">
        <v>1</v>
      </c>
      <c r="K225" s="1324" t="e">
        <f t="shared" ca="1" si="0"/>
        <v>#NAME?</v>
      </c>
      <c r="L225" s="1325">
        <f ca="1">+IFERROR(VLOOKUP(I225,'Factores Emisión EDGE'!$K$267:$L$272,2,0),0)</f>
        <v>0</v>
      </c>
      <c r="M225" s="1325" t="e">
        <f t="shared" ca="1" si="1"/>
        <v>#NAME?</v>
      </c>
      <c r="N225" s="486" t="s">
        <v>3043</v>
      </c>
      <c r="O225" s="1312"/>
      <c r="P225" s="1312"/>
    </row>
    <row r="226" spans="1:16" ht="15.75" customHeight="1">
      <c r="A226" s="1314">
        <v>44929.483778726848</v>
      </c>
      <c r="B226" s="1310" t="s">
        <v>2592</v>
      </c>
      <c r="C226" s="1310" t="s">
        <v>2593</v>
      </c>
      <c r="D226" s="1310" t="s">
        <v>3048</v>
      </c>
      <c r="E226" s="1310" t="s">
        <v>3042</v>
      </c>
      <c r="F226" s="1310" t="s">
        <v>1995</v>
      </c>
      <c r="G226" s="1326">
        <v>15</v>
      </c>
      <c r="H226" s="486" t="e">
        <f t="array" aca="1" ref="H226" ca="1">+_xludf.IFS(E226="100% Presencial",1, E226="20% Teletrabajo (4 días a la semana)",0.8,E226="40% Teletrabajo (3 días a la semana)",0.6,E226="60% Teletrabajo (2 días a la semana)",0.4,E226="80% Teletrabajo (1 día a la semana)",0.2,E226="100% Teletrabajo",0)</f>
        <v>#NAME?</v>
      </c>
      <c r="I226" s="486" t="e">
        <f t="array" aca="1" ref="I226" ca="1">+_xludf.IFS(F226="Vehículo - Uso individual","Auto",F226="Vehículo - Uso compartido","Auto",F226="Transporte público/bus de acercamiento","Bus",F226="Moto","Moto",F226="Bicicleta o caminando","Bicicleta",F226="Ninguno, pues realicé 100% teletrabajo","No aplica",F226="Moto eléctrica","Moto eléctrica",F226="Vehículo eléctrico - Uso Individual","Vehículo eléctrico",F226="Vehículo eléctrico - Uso Compartido","Vehículo eléctrico")</f>
        <v>#NAME?</v>
      </c>
      <c r="J226" s="486">
        <v>0.25</v>
      </c>
      <c r="K226" s="1324" t="e">
        <f t="shared" ca="1" si="0"/>
        <v>#NAME?</v>
      </c>
      <c r="L226" s="1325">
        <f ca="1">+IFERROR(VLOOKUP(I226,'Factores Emisión EDGE'!$K$267:$L$272,2,0),0)</f>
        <v>0</v>
      </c>
      <c r="M226" s="1325" t="e">
        <f t="shared" ca="1" si="1"/>
        <v>#NAME?</v>
      </c>
      <c r="N226" s="486" t="s">
        <v>3043</v>
      </c>
      <c r="O226" s="1312"/>
      <c r="P226" s="1312"/>
    </row>
    <row r="227" spans="1:16" ht="15.75" customHeight="1">
      <c r="A227" s="1314">
        <v>44929.485718946758</v>
      </c>
      <c r="B227" s="1310" t="s">
        <v>2627</v>
      </c>
      <c r="C227" s="1310" t="s">
        <v>2628</v>
      </c>
      <c r="D227" s="1310" t="s">
        <v>3048</v>
      </c>
      <c r="E227" s="1310" t="s">
        <v>885</v>
      </c>
      <c r="F227" s="1310" t="s">
        <v>1995</v>
      </c>
      <c r="G227" s="1326">
        <v>15</v>
      </c>
      <c r="H227" s="486" t="e">
        <f t="array" aca="1" ref="H227" ca="1">+_xludf.IFS(E227="100% Presencial",1, E227="20% Teletrabajo (4 días a la semana)",0.8,E227="40% Teletrabajo (3 días a la semana)",0.6,E227="60% Teletrabajo (2 días a la semana)",0.4,E227="80% Teletrabajo (1 día a la semana)",0.2,E227="100% Teletrabajo",0)</f>
        <v>#NAME?</v>
      </c>
      <c r="I227" s="486" t="e">
        <f t="array" aca="1" ref="I227" ca="1">+_xludf.IFS(F227="Vehículo - Uso individual","Auto",F227="Vehículo - Uso compartido","Auto",F227="Transporte público/bus de acercamiento","Bus",F227="Moto","Moto",F227="Bicicleta o caminando","Bicicleta",F227="Ninguno, pues realicé 100% teletrabajo","No aplica",F227="Moto eléctrica","Moto eléctrica",F227="Vehículo eléctrico - Uso Individual","Vehículo eléctrico",F227="Vehículo eléctrico - Uso Compartido","Vehículo eléctrico")</f>
        <v>#NAME?</v>
      </c>
      <c r="J227" s="486">
        <v>0.25</v>
      </c>
      <c r="K227" s="1324" t="e">
        <f t="shared" ca="1" si="0"/>
        <v>#NAME?</v>
      </c>
      <c r="L227" s="1325">
        <f ca="1">+IFERROR(VLOOKUP(I227,'Factores Emisión EDGE'!$K$267:$L$272,2,0),0)</f>
        <v>0</v>
      </c>
      <c r="M227" s="1325" t="e">
        <f t="shared" ca="1" si="1"/>
        <v>#NAME?</v>
      </c>
      <c r="N227" s="486" t="s">
        <v>3043</v>
      </c>
      <c r="O227" s="1312"/>
      <c r="P227" s="1312"/>
    </row>
    <row r="228" spans="1:16" ht="15.75" customHeight="1">
      <c r="A228" s="1314">
        <v>44938.746447453705</v>
      </c>
      <c r="B228" s="1310" t="s">
        <v>3369</v>
      </c>
      <c r="C228" s="1310" t="s">
        <v>3370</v>
      </c>
      <c r="D228" s="1310" t="s">
        <v>3133</v>
      </c>
      <c r="E228" s="1310" t="s">
        <v>3042</v>
      </c>
      <c r="F228" s="1310" t="s">
        <v>1995</v>
      </c>
      <c r="G228" s="1326">
        <v>15</v>
      </c>
      <c r="H228" s="486" t="e">
        <f t="array" aca="1" ref="H228" ca="1">+_xludf.IFS(E228="100% Presencial",1, E228="20% Teletrabajo (4 días a la semana)",0.8,E228="40% Teletrabajo (3 días a la semana)",0.6,E228="60% Teletrabajo (2 días a la semana)",0.4,E228="80% Teletrabajo (1 día a la semana)",0.2,E228="100% Teletrabajo",0)</f>
        <v>#NAME?</v>
      </c>
      <c r="I228" s="486" t="e">
        <f t="array" aca="1" ref="I228" ca="1">+_xludf.IFS(F228="Vehículo - Uso individual","Auto",F228="Vehículo - Uso compartido","Auto",F228="Transporte público/bus de acercamiento","Bus",F228="Moto","Moto",F228="Bicicleta o caminando","Bicicleta",F228="Ninguno, pues realicé 100% teletrabajo","No aplica",F228="Moto eléctrica","Moto eléctrica",F228="Vehículo eléctrico - Uso Individual","Vehículo eléctrico",F228="Vehículo eléctrico - Uso Compartido","Vehículo eléctrico")</f>
        <v>#NAME?</v>
      </c>
      <c r="J228" s="486">
        <v>0.25</v>
      </c>
      <c r="K228" s="1324" t="e">
        <f t="shared" ca="1" si="0"/>
        <v>#NAME?</v>
      </c>
      <c r="L228" s="1325">
        <f ca="1">+IFERROR(VLOOKUP(I228,'Factores Emisión EDGE'!$K$267:$L$272,2,0),0)</f>
        <v>0</v>
      </c>
      <c r="M228" s="1325" t="e">
        <f t="shared" ca="1" si="1"/>
        <v>#NAME?</v>
      </c>
      <c r="N228" s="486" t="s">
        <v>3056</v>
      </c>
      <c r="O228" s="1312"/>
      <c r="P228" s="1312"/>
    </row>
    <row r="229" spans="1:16" ht="15.75" customHeight="1">
      <c r="A229" s="1314">
        <v>44939.379507303238</v>
      </c>
      <c r="B229" s="1310" t="s">
        <v>2430</v>
      </c>
      <c r="C229" s="1310" t="s">
        <v>2431</v>
      </c>
      <c r="D229" s="1310" t="s">
        <v>3048</v>
      </c>
      <c r="E229" s="1310" t="s">
        <v>3066</v>
      </c>
      <c r="F229" s="1310" t="s">
        <v>1952</v>
      </c>
      <c r="G229" s="1326">
        <v>15</v>
      </c>
      <c r="H229" s="486" t="e">
        <f t="array" aca="1" ref="H229" ca="1">+_xludf.IFS(E229="100% Presencial",1, E229="20% Teletrabajo (4 días a la semana)",0.8,E229="40% Teletrabajo (3 días a la semana)",0.6,E229="60% Teletrabajo (2 días a la semana)",0.4,E229="80% Teletrabajo (1 día a la semana)",0.2,E229="100% Teletrabajo",0)</f>
        <v>#NAME?</v>
      </c>
      <c r="I229" s="486" t="e">
        <f t="array" aca="1" ref="I229" ca="1">+_xludf.IFS(F229="Vehículo - Uso individual","Auto",F229="Vehículo - Uso compartido","Auto",F229="Transporte público/bus de acercamiento","Bus",F229="Moto","Moto",F229="Bicicleta o caminando","Bicicleta",F229="Ninguno, pues realicé 100% teletrabajo","No aplica",F229="Moto eléctrica","Moto eléctrica",F229="Vehículo eléctrico - Uso Individual","Vehículo eléctrico",F229="Vehículo eléctrico - Uso Compartido","Vehículo eléctrico")</f>
        <v>#NAME?</v>
      </c>
      <c r="J229" s="486">
        <v>1</v>
      </c>
      <c r="K229" s="1324" t="e">
        <f t="shared" ca="1" si="0"/>
        <v>#NAME?</v>
      </c>
      <c r="L229" s="1325">
        <f ca="1">+IFERROR(VLOOKUP(I229,'Factores Emisión EDGE'!$K$267:$L$272,2,0),0)</f>
        <v>0</v>
      </c>
      <c r="M229" s="1325" t="e">
        <f t="shared" ca="1" si="1"/>
        <v>#NAME?</v>
      </c>
      <c r="N229" s="486" t="s">
        <v>3043</v>
      </c>
      <c r="O229" s="1312"/>
      <c r="P229" s="1312"/>
    </row>
    <row r="230" spans="1:16" ht="15.75" customHeight="1">
      <c r="A230" s="1314">
        <v>44939.416540914353</v>
      </c>
      <c r="B230" s="1310" t="s">
        <v>3371</v>
      </c>
      <c r="C230" s="1310" t="s">
        <v>3372</v>
      </c>
      <c r="D230" s="1310" t="s">
        <v>3048</v>
      </c>
      <c r="E230" s="1310" t="s">
        <v>885</v>
      </c>
      <c r="F230" s="1310" t="s">
        <v>1995</v>
      </c>
      <c r="G230" s="1326">
        <v>15</v>
      </c>
      <c r="H230" s="486" t="e">
        <f t="array" aca="1" ref="H230" ca="1">+_xludf.IFS(E230="100% Presencial",1, E230="20% Teletrabajo (4 días a la semana)",0.8,E230="40% Teletrabajo (3 días a la semana)",0.6,E230="60% Teletrabajo (2 días a la semana)",0.4,E230="80% Teletrabajo (1 día a la semana)",0.2,E230="100% Teletrabajo",0)</f>
        <v>#NAME?</v>
      </c>
      <c r="I230" s="486" t="e">
        <f t="array" aca="1" ref="I230" ca="1">+_xludf.IFS(F230="Vehículo - Uso individual","Auto",F230="Vehículo - Uso compartido","Auto",F230="Transporte público/bus de acercamiento","Bus",F230="Moto","Moto",F230="Bicicleta o caminando","Bicicleta",F230="Ninguno, pues realicé 100% teletrabajo","No aplica",F230="Moto eléctrica","Moto eléctrica",F230="Vehículo eléctrico - Uso Individual","Vehículo eléctrico",F230="Vehículo eléctrico - Uso Compartido","Vehículo eléctrico")</f>
        <v>#NAME?</v>
      </c>
      <c r="J230" s="486">
        <v>0.25</v>
      </c>
      <c r="K230" s="1324" t="e">
        <f t="shared" ca="1" si="0"/>
        <v>#NAME?</v>
      </c>
      <c r="L230" s="1325">
        <f ca="1">+IFERROR(VLOOKUP(I230,'Factores Emisión EDGE'!$K$267:$L$272,2,0),0)</f>
        <v>0</v>
      </c>
      <c r="M230" s="1325" t="e">
        <f t="shared" ca="1" si="1"/>
        <v>#NAME?</v>
      </c>
      <c r="N230" s="486" t="s">
        <v>3043</v>
      </c>
      <c r="O230" s="1312"/>
      <c r="P230" s="1312"/>
    </row>
    <row r="231" spans="1:16" ht="15.75" customHeight="1">
      <c r="A231" s="1314">
        <v>44930.603753275464</v>
      </c>
      <c r="B231" s="1310" t="s">
        <v>3373</v>
      </c>
      <c r="C231" s="1310" t="s">
        <v>3374</v>
      </c>
      <c r="D231" s="1310" t="s">
        <v>3107</v>
      </c>
      <c r="E231" s="1310" t="s">
        <v>3042</v>
      </c>
      <c r="F231" s="1310" t="s">
        <v>1952</v>
      </c>
      <c r="G231" s="1326">
        <v>15</v>
      </c>
      <c r="H231" s="486" t="e">
        <f t="array" aca="1" ref="H231" ca="1">+_xludf.IFS(E231="100% Presencial",1, E231="20% Teletrabajo (4 días a la semana)",0.8,E231="40% Teletrabajo (3 días a la semana)",0.6,E231="60% Teletrabajo (2 días a la semana)",0.4,E231="80% Teletrabajo (1 día a la semana)",0.2,E231="100% Teletrabajo",0)</f>
        <v>#NAME?</v>
      </c>
      <c r="I231" s="486" t="e">
        <f t="array" aca="1" ref="I231" ca="1">+_xludf.IFS(F231="Vehículo - Uso individual","Auto",F231="Vehículo - Uso compartido","Auto",F231="Transporte público/bus de acercamiento","Bus",F231="Moto","Moto",F231="Bicicleta o caminando","Bicicleta",F231="Ninguno, pues realicé 100% teletrabajo","No aplica",F231="Moto eléctrica","Moto eléctrica",F231="Vehículo eléctrico - Uso Individual","Vehículo eléctrico",F231="Vehículo eléctrico - Uso Compartido","Vehículo eléctrico")</f>
        <v>#NAME?</v>
      </c>
      <c r="J231" s="486">
        <v>1</v>
      </c>
      <c r="K231" s="1324" t="e">
        <f t="shared" ca="1" si="0"/>
        <v>#NAME?</v>
      </c>
      <c r="L231" s="1325">
        <f ca="1">+IFERROR(VLOOKUP(I231,'Factores Emisión EDGE'!$K$267:$L$272,2,0),0)</f>
        <v>0</v>
      </c>
      <c r="M231" s="1325" t="e">
        <f t="shared" ca="1" si="1"/>
        <v>#NAME?</v>
      </c>
      <c r="N231" s="486" t="s">
        <v>3056</v>
      </c>
      <c r="O231" s="1312"/>
      <c r="P231" s="1312"/>
    </row>
    <row r="232" spans="1:16" ht="15.75" customHeight="1">
      <c r="A232" s="1314">
        <v>44930.665678055557</v>
      </c>
      <c r="B232" s="1310" t="s">
        <v>3375</v>
      </c>
      <c r="C232" s="1310" t="s">
        <v>3376</v>
      </c>
      <c r="D232" s="1310" t="s">
        <v>3048</v>
      </c>
      <c r="E232" s="1310" t="s">
        <v>3042</v>
      </c>
      <c r="F232" s="1310" t="s">
        <v>3055</v>
      </c>
      <c r="G232" s="1326">
        <v>15</v>
      </c>
      <c r="H232" s="486" t="e">
        <f t="array" aca="1" ref="H232" ca="1">+_xludf.IFS(E232="100% Presencial",1, E232="20% Teletrabajo (4 días a la semana)",0.8,E232="40% Teletrabajo (3 días a la semana)",0.6,E232="60% Teletrabajo (2 días a la semana)",0.4,E232="80% Teletrabajo (1 día a la semana)",0.2,E232="100% Teletrabajo",0)</f>
        <v>#NAME?</v>
      </c>
      <c r="I232" s="486" t="e">
        <f t="array" aca="1" ref="I232" ca="1">+_xludf.IFS(F232="Vehículo - Uso individual","Auto",F232="Vehículo - Uso compartido","Auto",F232="Transporte público/bus de acercamiento","Bus",F232="Moto","Moto",F232="Bicicleta o caminando","Bicicleta",F232="Ninguno, pues realicé 100% teletrabajo","No aplica",F232="Moto eléctrica","Moto eléctrica",F232="Vehículo eléctrico - Uso Individual","Vehículo eléctrico",F232="Vehículo eléctrico - Uso Compartido","Vehículo eléctrico")</f>
        <v>#NAME?</v>
      </c>
      <c r="J232" s="486">
        <v>1</v>
      </c>
      <c r="K232" s="1324" t="e">
        <f t="shared" ca="1" si="0"/>
        <v>#NAME?</v>
      </c>
      <c r="L232" s="1325">
        <f ca="1">+IFERROR(VLOOKUP(I232,'Factores Emisión EDGE'!$K$267:$L$272,2,0),0)</f>
        <v>0</v>
      </c>
      <c r="M232" s="1325" t="e">
        <f t="shared" ca="1" si="1"/>
        <v>#NAME?</v>
      </c>
      <c r="N232" s="486" t="s">
        <v>3056</v>
      </c>
      <c r="O232" s="1312"/>
      <c r="P232" s="1312"/>
    </row>
    <row r="233" spans="1:16" ht="15.75" customHeight="1">
      <c r="A233" s="1314">
        <v>44929.483545312498</v>
      </c>
      <c r="B233" s="1310" t="s">
        <v>3377</v>
      </c>
      <c r="C233" s="1310" t="s">
        <v>3378</v>
      </c>
      <c r="D233" s="1310" t="s">
        <v>3063</v>
      </c>
      <c r="E233" s="1310" t="s">
        <v>3042</v>
      </c>
      <c r="F233" s="1310" t="s">
        <v>3055</v>
      </c>
      <c r="G233" s="1326">
        <v>15</v>
      </c>
      <c r="H233" s="486" t="e">
        <f t="array" aca="1" ref="H233" ca="1">+_xludf.IFS(E233="100% Presencial",1, E233="20% Teletrabajo (4 días a la semana)",0.8,E233="40% Teletrabajo (3 días a la semana)",0.6,E233="60% Teletrabajo (2 días a la semana)",0.4,E233="80% Teletrabajo (1 día a la semana)",0.2,E233="100% Teletrabajo",0)</f>
        <v>#NAME?</v>
      </c>
      <c r="I233" s="486" t="e">
        <f t="array" aca="1" ref="I233" ca="1">+_xludf.IFS(F233="Vehículo - Uso individual","Auto",F233="Vehículo - Uso compartido","Auto",F233="Transporte público/bus de acercamiento","Bus",F233="Moto","Moto",F233="Bicicleta o caminando","Bicicleta",F233="Ninguno, pues realicé 100% teletrabajo","No aplica",F233="Moto eléctrica","Moto eléctrica",F233="Vehículo eléctrico - Uso Individual","Vehículo eléctrico",F233="Vehículo eléctrico - Uso Compartido","Vehículo eléctrico")</f>
        <v>#NAME?</v>
      </c>
      <c r="J233" s="486">
        <v>1</v>
      </c>
      <c r="K233" s="1324" t="e">
        <f t="shared" ca="1" si="0"/>
        <v>#NAME?</v>
      </c>
      <c r="L233" s="1325">
        <f ca="1">+IFERROR(VLOOKUP(I233,'Factores Emisión EDGE'!$K$267:$L$272,2,0),0)</f>
        <v>0</v>
      </c>
      <c r="M233" s="1325" t="e">
        <f t="shared" ca="1" si="1"/>
        <v>#NAME?</v>
      </c>
      <c r="N233" s="486" t="s">
        <v>3043</v>
      </c>
      <c r="O233" s="1312"/>
      <c r="P233" s="1312"/>
    </row>
    <row r="234" spans="1:16" ht="15.75" customHeight="1">
      <c r="A234" s="1314">
        <v>44929.485581469911</v>
      </c>
      <c r="B234" s="1310" t="s">
        <v>2162</v>
      </c>
      <c r="C234" s="1310" t="s">
        <v>3379</v>
      </c>
      <c r="D234" s="1310" t="s">
        <v>3054</v>
      </c>
      <c r="E234" s="1310" t="s">
        <v>3042</v>
      </c>
      <c r="F234" s="1310" t="s">
        <v>3055</v>
      </c>
      <c r="G234" s="1326">
        <v>15</v>
      </c>
      <c r="H234" s="486" t="e">
        <f t="array" aca="1" ref="H234" ca="1">+_xludf.IFS(E234="100% Presencial",1, E234="20% Teletrabajo (4 días a la semana)",0.8,E234="40% Teletrabajo (3 días a la semana)",0.6,E234="60% Teletrabajo (2 días a la semana)",0.4,E234="80% Teletrabajo (1 día a la semana)",0.2,E234="100% Teletrabajo",0)</f>
        <v>#NAME?</v>
      </c>
      <c r="I234" s="486" t="e">
        <f t="array" aca="1" ref="I234" ca="1">+_xludf.IFS(F234="Vehículo - Uso individual","Auto",F234="Vehículo - Uso compartido","Auto",F234="Transporte público/bus de acercamiento","Bus",F234="Moto","Moto",F234="Bicicleta o caminando","Bicicleta",F234="Ninguno, pues realicé 100% teletrabajo","No aplica",F234="Moto eléctrica","Moto eléctrica",F234="Vehículo eléctrico - Uso Individual","Vehículo eléctrico",F234="Vehículo eléctrico - Uso Compartido","Vehículo eléctrico")</f>
        <v>#NAME?</v>
      </c>
      <c r="J234" s="486">
        <v>1</v>
      </c>
      <c r="K234" s="1324" t="e">
        <f t="shared" ca="1" si="0"/>
        <v>#NAME?</v>
      </c>
      <c r="L234" s="1325">
        <f ca="1">+IFERROR(VLOOKUP(I234,'Factores Emisión EDGE'!$K$267:$L$272,2,0),0)</f>
        <v>0</v>
      </c>
      <c r="M234" s="1325" t="e">
        <f t="shared" ca="1" si="1"/>
        <v>#NAME?</v>
      </c>
      <c r="N234" s="486" t="s">
        <v>3043</v>
      </c>
      <c r="O234" s="1312"/>
      <c r="P234" s="1312"/>
    </row>
    <row r="235" spans="1:16" ht="15.75" customHeight="1">
      <c r="A235" s="1314">
        <v>44929.499979791668</v>
      </c>
      <c r="B235" s="1310" t="s">
        <v>3380</v>
      </c>
      <c r="C235" s="1310" t="s">
        <v>3381</v>
      </c>
      <c r="D235" s="1310" t="s">
        <v>3133</v>
      </c>
      <c r="E235" s="1310" t="s">
        <v>3042</v>
      </c>
      <c r="F235" s="1310" t="s">
        <v>1952</v>
      </c>
      <c r="G235" s="1326">
        <v>15</v>
      </c>
      <c r="H235" s="486" t="e">
        <f t="array" aca="1" ref="H235" ca="1">+_xludf.IFS(E235="100% Presencial",1, E235="20% Teletrabajo (4 días a la semana)",0.8,E235="40% Teletrabajo (3 días a la semana)",0.6,E235="60% Teletrabajo (2 días a la semana)",0.4,E235="80% Teletrabajo (1 día a la semana)",0.2,E235="100% Teletrabajo",0)</f>
        <v>#NAME?</v>
      </c>
      <c r="I235" s="486" t="e">
        <f t="array" aca="1" ref="I235" ca="1">+_xludf.IFS(F235="Vehículo - Uso individual","Auto",F235="Vehículo - Uso compartido","Auto",F235="Transporte público/bus de acercamiento","Bus",F235="Moto","Moto",F235="Bicicleta o caminando","Bicicleta",F235="Ninguno, pues realicé 100% teletrabajo","No aplica",F235="Moto eléctrica","Moto eléctrica",F235="Vehículo eléctrico - Uso Individual","Vehículo eléctrico",F235="Vehículo eléctrico - Uso Compartido","Vehículo eléctrico")</f>
        <v>#NAME?</v>
      </c>
      <c r="J235" s="486">
        <v>1</v>
      </c>
      <c r="K235" s="1324" t="e">
        <f t="shared" ca="1" si="0"/>
        <v>#NAME?</v>
      </c>
      <c r="L235" s="1325">
        <f ca="1">+IFERROR(VLOOKUP(I235,'Factores Emisión EDGE'!$K$267:$L$272,2,0),0)</f>
        <v>0</v>
      </c>
      <c r="M235" s="1325" t="e">
        <f t="shared" ca="1" si="1"/>
        <v>#NAME?</v>
      </c>
      <c r="N235" s="486" t="s">
        <v>3043</v>
      </c>
      <c r="O235" s="1312"/>
      <c r="P235" s="1312"/>
    </row>
    <row r="236" spans="1:16" ht="15.75" customHeight="1">
      <c r="A236" s="1314">
        <v>44929.504142696758</v>
      </c>
      <c r="B236" s="1310" t="s">
        <v>2521</v>
      </c>
      <c r="C236" s="1310" t="s">
        <v>2522</v>
      </c>
      <c r="D236" s="1310" t="s">
        <v>3048</v>
      </c>
      <c r="E236" s="1310" t="s">
        <v>3066</v>
      </c>
      <c r="F236" s="1310" t="s">
        <v>1995</v>
      </c>
      <c r="G236" s="1326">
        <v>15</v>
      </c>
      <c r="H236" s="486" t="e">
        <f t="array" aca="1" ref="H236" ca="1">+_xludf.IFS(E236="100% Presencial",1, E236="20% Teletrabajo (4 días a la semana)",0.8,E236="40% Teletrabajo (3 días a la semana)",0.6,E236="60% Teletrabajo (2 días a la semana)",0.4,E236="80% Teletrabajo (1 día a la semana)",0.2,E236="100% Teletrabajo",0)</f>
        <v>#NAME?</v>
      </c>
      <c r="I236" s="486" t="e">
        <f t="array" aca="1" ref="I236" ca="1">+_xludf.IFS(F236="Vehículo - Uso individual","Auto",F236="Vehículo - Uso compartido","Auto",F236="Transporte público/bus de acercamiento","Bus",F236="Moto","Moto",F236="Bicicleta o caminando","Bicicleta",F236="Ninguno, pues realicé 100% teletrabajo","No aplica",F236="Moto eléctrica","Moto eléctrica",F236="Vehículo eléctrico - Uso Individual","Vehículo eléctrico",F236="Vehículo eléctrico - Uso Compartido","Vehículo eléctrico")</f>
        <v>#NAME?</v>
      </c>
      <c r="J236" s="486">
        <v>0.25</v>
      </c>
      <c r="K236" s="1324" t="e">
        <f t="shared" ca="1" si="0"/>
        <v>#NAME?</v>
      </c>
      <c r="L236" s="1325">
        <f ca="1">+IFERROR(VLOOKUP(I236,'Factores Emisión EDGE'!$K$267:$L$272,2,0),0)</f>
        <v>0</v>
      </c>
      <c r="M236" s="1325" t="e">
        <f t="shared" ca="1" si="1"/>
        <v>#NAME?</v>
      </c>
      <c r="N236" s="486" t="s">
        <v>3043</v>
      </c>
      <c r="O236" s="1312"/>
      <c r="P236" s="1312"/>
    </row>
    <row r="237" spans="1:16" ht="15.75" customHeight="1">
      <c r="A237" s="1314">
        <v>44939.376625150464</v>
      </c>
      <c r="B237" s="1310" t="s">
        <v>3382</v>
      </c>
      <c r="C237" s="1310" t="s">
        <v>3383</v>
      </c>
      <c r="D237" s="1310" t="s">
        <v>3048</v>
      </c>
      <c r="E237" s="1310" t="s">
        <v>3049</v>
      </c>
      <c r="F237" s="1310" t="s">
        <v>3050</v>
      </c>
      <c r="G237" s="1326">
        <v>11</v>
      </c>
      <c r="H237" s="486" t="e">
        <f t="array" aca="1" ref="H237" ca="1">+_xludf.IFS(E237="100% Presencial",1, E237="20% Teletrabajo (4 días a la semana)",0.8,E237="40% Teletrabajo (3 días a la semana)",0.6,E237="60% Teletrabajo (2 días a la semana)",0.4,E237="80% Teletrabajo (1 día a la semana)",0.2,E237="100% Teletrabajo",0)</f>
        <v>#NAME?</v>
      </c>
      <c r="I237" s="486" t="e">
        <f t="array" aca="1" ref="I237" ca="1">+_xludf.IFS(F237="Vehículo - Uso individual","Auto",F237="Vehículo - Uso compartido","Auto",F237="Transporte público/bus de acercamiento","Bus",F237="Moto","Moto",F237="Bicicleta o caminando","Bicicleta",F237="Ninguno, pues realicé 100% teletrabajo","No aplica",F237="Moto eléctrica","Moto eléctrica",F237="Vehículo eléctrico - Uso Individual","Vehículo eléctrico",F237="Vehículo eléctrico - Uso Compartido","Vehículo eléctrico")</f>
        <v>#NAME?</v>
      </c>
      <c r="J237" s="486">
        <v>1</v>
      </c>
      <c r="K237" s="1324" t="e">
        <f t="shared" ca="1" si="0"/>
        <v>#NAME?</v>
      </c>
      <c r="L237" s="1325">
        <f ca="1">+IFERROR(VLOOKUP(I237,'Factores Emisión EDGE'!$K$267:$L$272,2,0),0)</f>
        <v>0</v>
      </c>
      <c r="M237" s="1325" t="e">
        <f t="shared" ca="1" si="1"/>
        <v>#NAME?</v>
      </c>
      <c r="N237" s="486" t="s">
        <v>3043</v>
      </c>
      <c r="O237" s="1312"/>
      <c r="P237" s="1312"/>
    </row>
    <row r="238" spans="1:16" ht="15.75" customHeight="1">
      <c r="A238" s="1314">
        <v>44929.534762685187</v>
      </c>
      <c r="B238" s="1310" t="s">
        <v>3384</v>
      </c>
      <c r="C238" s="1310" t="s">
        <v>2774</v>
      </c>
      <c r="D238" s="1310" t="s">
        <v>3048</v>
      </c>
      <c r="E238" s="1310" t="s">
        <v>883</v>
      </c>
      <c r="F238" s="1310" t="s">
        <v>1952</v>
      </c>
      <c r="G238" s="1326">
        <v>15</v>
      </c>
      <c r="H238" s="486" t="e">
        <f t="array" aca="1" ref="H238" ca="1">+_xludf.IFS(E238="100% Presencial",1, E238="20% Teletrabajo (4 días a la semana)",0.8,E238="40% Teletrabajo (3 días a la semana)",0.6,E238="60% Teletrabajo (2 días a la semana)",0.4,E238="80% Teletrabajo (1 día a la semana)",0.2,E238="100% Teletrabajo",0)</f>
        <v>#NAME?</v>
      </c>
      <c r="I238" s="486" t="e">
        <f t="array" aca="1" ref="I238" ca="1">+_xludf.IFS(F238="Vehículo - Uso individual","Auto",F238="Vehículo - Uso compartido","Auto",F238="Transporte público/bus de acercamiento","Bus",F238="Moto","Moto",F238="Bicicleta o caminando","Bicicleta",F238="Ninguno, pues realicé 100% teletrabajo","No aplica",F238="Moto eléctrica","Moto eléctrica",F238="Vehículo eléctrico - Uso Individual","Vehículo eléctrico",F238="Vehículo eléctrico - Uso Compartido","Vehículo eléctrico")</f>
        <v>#NAME?</v>
      </c>
      <c r="J238" s="486">
        <v>1</v>
      </c>
      <c r="K238" s="1324" t="e">
        <f t="shared" ca="1" si="0"/>
        <v>#NAME?</v>
      </c>
      <c r="L238" s="1325">
        <f ca="1">+IFERROR(VLOOKUP(I238,'Factores Emisión EDGE'!$K$267:$L$272,2,0),0)</f>
        <v>0</v>
      </c>
      <c r="M238" s="1325" t="e">
        <f t="shared" ca="1" si="1"/>
        <v>#NAME?</v>
      </c>
      <c r="N238" s="486" t="s">
        <v>3043</v>
      </c>
      <c r="O238" s="1312"/>
      <c r="P238" s="1312"/>
    </row>
    <row r="239" spans="1:16" ht="15.75" customHeight="1">
      <c r="A239" s="1314">
        <v>44929.720653055556</v>
      </c>
      <c r="B239" s="1310" t="s">
        <v>3385</v>
      </c>
      <c r="C239" s="1310" t="s">
        <v>3386</v>
      </c>
      <c r="D239" s="1310" t="s">
        <v>3133</v>
      </c>
      <c r="E239" s="1310" t="s">
        <v>3042</v>
      </c>
      <c r="F239" s="1310" t="s">
        <v>3055</v>
      </c>
      <c r="G239" s="1326">
        <v>15</v>
      </c>
      <c r="H239" s="486" t="e">
        <f t="array" aca="1" ref="H239" ca="1">+_xludf.IFS(E239="100% Presencial",1, E239="20% Teletrabajo (4 días a la semana)",0.8,E239="40% Teletrabajo (3 días a la semana)",0.6,E239="60% Teletrabajo (2 días a la semana)",0.4,E239="80% Teletrabajo (1 día a la semana)",0.2,E239="100% Teletrabajo",0)</f>
        <v>#NAME?</v>
      </c>
      <c r="I239" s="486" t="e">
        <f t="array" aca="1" ref="I239" ca="1">+_xludf.IFS(F239="Vehículo - Uso individual","Auto",F239="Vehículo - Uso compartido","Auto",F239="Transporte público/bus de acercamiento","Bus",F239="Moto","Moto",F239="Bicicleta o caminando","Bicicleta",F239="Ninguno, pues realicé 100% teletrabajo","No aplica",F239="Moto eléctrica","Moto eléctrica",F239="Vehículo eléctrico - Uso Individual","Vehículo eléctrico",F239="Vehículo eléctrico - Uso Compartido","Vehículo eléctrico")</f>
        <v>#NAME?</v>
      </c>
      <c r="J239" s="486">
        <v>1</v>
      </c>
      <c r="K239" s="1324" t="e">
        <f t="shared" ca="1" si="0"/>
        <v>#NAME?</v>
      </c>
      <c r="L239" s="1325">
        <f ca="1">+IFERROR(VLOOKUP(I239,'Factores Emisión EDGE'!$K$267:$L$272,2,0),0)</f>
        <v>0</v>
      </c>
      <c r="M239" s="1325" t="e">
        <f t="shared" ca="1" si="1"/>
        <v>#NAME?</v>
      </c>
      <c r="N239" s="486" t="s">
        <v>3043</v>
      </c>
      <c r="O239" s="1312"/>
      <c r="P239" s="1312"/>
    </row>
    <row r="240" spans="1:16" ht="15.75" customHeight="1">
      <c r="A240" s="1314">
        <v>44930.426384525461</v>
      </c>
      <c r="B240" s="1310" t="s">
        <v>3387</v>
      </c>
      <c r="C240" s="1310" t="s">
        <v>3388</v>
      </c>
      <c r="D240" s="1310" t="s">
        <v>3048</v>
      </c>
      <c r="E240" s="1310" t="s">
        <v>3066</v>
      </c>
      <c r="F240" s="1310" t="s">
        <v>1952</v>
      </c>
      <c r="G240" s="1326">
        <v>15</v>
      </c>
      <c r="H240" s="486" t="e">
        <f t="array" aca="1" ref="H240" ca="1">+_xludf.IFS(E240="100% Presencial",1, E240="20% Teletrabajo (4 días a la semana)",0.8,E240="40% Teletrabajo (3 días a la semana)",0.6,E240="60% Teletrabajo (2 días a la semana)",0.4,E240="80% Teletrabajo (1 día a la semana)",0.2,E240="100% Teletrabajo",0)</f>
        <v>#NAME?</v>
      </c>
      <c r="I240" s="486" t="e">
        <f t="array" aca="1" ref="I240" ca="1">+_xludf.IFS(F240="Vehículo - Uso individual","Auto",F240="Vehículo - Uso compartido","Auto",F240="Transporte público/bus de acercamiento","Bus",F240="Moto","Moto",F240="Bicicleta o caminando","Bicicleta",F240="Ninguno, pues realicé 100% teletrabajo","No aplica",F240="Moto eléctrica","Moto eléctrica",F240="Vehículo eléctrico - Uso Individual","Vehículo eléctrico",F240="Vehículo eléctrico - Uso Compartido","Vehículo eléctrico")</f>
        <v>#NAME?</v>
      </c>
      <c r="J240" s="486">
        <v>1</v>
      </c>
      <c r="K240" s="1324" t="e">
        <f t="shared" ca="1" si="0"/>
        <v>#NAME?</v>
      </c>
      <c r="L240" s="1325">
        <f ca="1">+IFERROR(VLOOKUP(I240,'Factores Emisión EDGE'!$K$267:$L$272,2,0),0)</f>
        <v>0</v>
      </c>
      <c r="M240" s="1325" t="e">
        <f t="shared" ca="1" si="1"/>
        <v>#NAME?</v>
      </c>
      <c r="N240" s="486" t="s">
        <v>3043</v>
      </c>
      <c r="O240" s="1312"/>
      <c r="P240" s="1312"/>
    </row>
    <row r="241" spans="1:16" ht="15.75" customHeight="1">
      <c r="A241" s="1314">
        <v>44930.43353386574</v>
      </c>
      <c r="B241" s="1310" t="s">
        <v>3389</v>
      </c>
      <c r="C241" s="1310" t="s">
        <v>3390</v>
      </c>
      <c r="D241" s="1310" t="s">
        <v>3265</v>
      </c>
      <c r="E241" s="1310" t="s">
        <v>3042</v>
      </c>
      <c r="F241" s="1310" t="s">
        <v>1995</v>
      </c>
      <c r="G241" s="1326">
        <v>15</v>
      </c>
      <c r="H241" s="486" t="e">
        <f t="array" aca="1" ref="H241" ca="1">+_xludf.IFS(E241="100% Presencial",1, E241="20% Teletrabajo (4 días a la semana)",0.8,E241="40% Teletrabajo (3 días a la semana)",0.6,E241="60% Teletrabajo (2 días a la semana)",0.4,E241="80% Teletrabajo (1 día a la semana)",0.2,E241="100% Teletrabajo",0)</f>
        <v>#NAME?</v>
      </c>
      <c r="I241" s="486" t="e">
        <f t="array" aca="1" ref="I241" ca="1">+_xludf.IFS(F241="Vehículo - Uso individual","Auto",F241="Vehículo - Uso compartido","Auto",F241="Transporte público/bus de acercamiento","Bus",F241="Moto","Moto",F241="Bicicleta o caminando","Bicicleta",F241="Ninguno, pues realicé 100% teletrabajo","No aplica",F241="Moto eléctrica","Moto eléctrica",F241="Vehículo eléctrico - Uso Individual","Vehículo eléctrico",F241="Vehículo eléctrico - Uso Compartido","Vehículo eléctrico")</f>
        <v>#NAME?</v>
      </c>
      <c r="J241" s="486">
        <v>0.25</v>
      </c>
      <c r="K241" s="1324" t="e">
        <f t="shared" ca="1" si="0"/>
        <v>#NAME?</v>
      </c>
      <c r="L241" s="1325">
        <f ca="1">+IFERROR(VLOOKUP(I241,'Factores Emisión EDGE'!$K$267:$L$272,2,0),0)</f>
        <v>0</v>
      </c>
      <c r="M241" s="1325" t="e">
        <f t="shared" ca="1" si="1"/>
        <v>#NAME?</v>
      </c>
      <c r="N241" s="486" t="s">
        <v>3056</v>
      </c>
      <c r="O241" s="1312"/>
      <c r="P241" s="1312"/>
    </row>
    <row r="242" spans="1:16" ht="15.75" customHeight="1">
      <c r="A242" s="1314">
        <v>44930.500084826388</v>
      </c>
      <c r="B242" s="1310" t="s">
        <v>3391</v>
      </c>
      <c r="C242" s="1310" t="s">
        <v>3392</v>
      </c>
      <c r="D242" s="1310" t="s">
        <v>3048</v>
      </c>
      <c r="E242" s="1310" t="s">
        <v>3042</v>
      </c>
      <c r="F242" s="1310" t="s">
        <v>1995</v>
      </c>
      <c r="G242" s="1326">
        <v>15</v>
      </c>
      <c r="H242" s="486" t="e">
        <f t="array" aca="1" ref="H242" ca="1">+_xludf.IFS(E242="100% Presencial",1, E242="20% Teletrabajo (4 días a la semana)",0.8,E242="40% Teletrabajo (3 días a la semana)",0.6,E242="60% Teletrabajo (2 días a la semana)",0.4,E242="80% Teletrabajo (1 día a la semana)",0.2,E242="100% Teletrabajo",0)</f>
        <v>#NAME?</v>
      </c>
      <c r="I242" s="486" t="e">
        <f t="array" aca="1" ref="I242" ca="1">+_xludf.IFS(F242="Vehículo - Uso individual","Auto",F242="Vehículo - Uso compartido","Auto",F242="Transporte público/bus de acercamiento","Bus",F242="Moto","Moto",F242="Bicicleta o caminando","Bicicleta",F242="Ninguno, pues realicé 100% teletrabajo","No aplica",F242="Moto eléctrica","Moto eléctrica",F242="Vehículo eléctrico - Uso Individual","Vehículo eléctrico",F242="Vehículo eléctrico - Uso Compartido","Vehículo eléctrico")</f>
        <v>#NAME?</v>
      </c>
      <c r="J242" s="486">
        <v>0.25</v>
      </c>
      <c r="K242" s="1324" t="e">
        <f t="shared" ca="1" si="0"/>
        <v>#NAME?</v>
      </c>
      <c r="L242" s="1325">
        <f ca="1">+IFERROR(VLOOKUP(I242,'Factores Emisión EDGE'!$K$267:$L$272,2,0),0)</f>
        <v>0</v>
      </c>
      <c r="M242" s="1325" t="e">
        <f t="shared" ca="1" si="1"/>
        <v>#NAME?</v>
      </c>
      <c r="N242" s="486" t="s">
        <v>3056</v>
      </c>
      <c r="O242" s="1312"/>
      <c r="P242" s="1312"/>
    </row>
    <row r="243" spans="1:16" ht="15.75" customHeight="1">
      <c r="A243" s="1314">
        <v>44930.501117361113</v>
      </c>
      <c r="B243" s="1310" t="s">
        <v>3393</v>
      </c>
      <c r="C243" s="1310" t="s">
        <v>3394</v>
      </c>
      <c r="D243" s="1310" t="s">
        <v>3048</v>
      </c>
      <c r="E243" s="1310" t="s">
        <v>3042</v>
      </c>
      <c r="F243" s="1310" t="s">
        <v>1995</v>
      </c>
      <c r="G243" s="1326">
        <v>15</v>
      </c>
      <c r="H243" s="486" t="e">
        <f t="array" aca="1" ref="H243" ca="1">+_xludf.IFS(E243="100% Presencial",1, E243="20% Teletrabajo (4 días a la semana)",0.8,E243="40% Teletrabajo (3 días a la semana)",0.6,E243="60% Teletrabajo (2 días a la semana)",0.4,E243="80% Teletrabajo (1 día a la semana)",0.2,E243="100% Teletrabajo",0)</f>
        <v>#NAME?</v>
      </c>
      <c r="I243" s="486" t="e">
        <f t="array" aca="1" ref="I243" ca="1">+_xludf.IFS(F243="Vehículo - Uso individual","Auto",F243="Vehículo - Uso compartido","Auto",F243="Transporte público/bus de acercamiento","Bus",F243="Moto","Moto",F243="Bicicleta o caminando","Bicicleta",F243="Ninguno, pues realicé 100% teletrabajo","No aplica",F243="Moto eléctrica","Moto eléctrica",F243="Vehículo eléctrico - Uso Individual","Vehículo eléctrico",F243="Vehículo eléctrico - Uso Compartido","Vehículo eléctrico")</f>
        <v>#NAME?</v>
      </c>
      <c r="J243" s="486">
        <v>0.25</v>
      </c>
      <c r="K243" s="1324" t="e">
        <f t="shared" ca="1" si="0"/>
        <v>#NAME?</v>
      </c>
      <c r="L243" s="1325">
        <f ca="1">+IFERROR(VLOOKUP(I243,'Factores Emisión EDGE'!$K$267:$L$272,2,0),0)</f>
        <v>0</v>
      </c>
      <c r="M243" s="1325" t="e">
        <f t="shared" ca="1" si="1"/>
        <v>#NAME?</v>
      </c>
      <c r="N243" s="486" t="s">
        <v>3056</v>
      </c>
      <c r="O243" s="1312"/>
      <c r="P243" s="1312"/>
    </row>
    <row r="244" spans="1:16" ht="15.75" customHeight="1">
      <c r="A244" s="1314">
        <v>44930.582726817127</v>
      </c>
      <c r="B244" s="1310" t="s">
        <v>3395</v>
      </c>
      <c r="C244" s="1310" t="s">
        <v>3010</v>
      </c>
      <c r="D244" s="1310" t="s">
        <v>3054</v>
      </c>
      <c r="E244" s="1310" t="s">
        <v>3042</v>
      </c>
      <c r="F244" s="1310" t="s">
        <v>1952</v>
      </c>
      <c r="G244" s="1326">
        <v>15</v>
      </c>
      <c r="H244" s="486" t="e">
        <f t="array" aca="1" ref="H244" ca="1">+_xludf.IFS(E244="100% Presencial",1, E244="20% Teletrabajo (4 días a la semana)",0.8,E244="40% Teletrabajo (3 días a la semana)",0.6,E244="60% Teletrabajo (2 días a la semana)",0.4,E244="80% Teletrabajo (1 día a la semana)",0.2,E244="100% Teletrabajo",0)</f>
        <v>#NAME?</v>
      </c>
      <c r="I244" s="486" t="e">
        <f t="array" aca="1" ref="I244" ca="1">+_xludf.IFS(F244="Vehículo - Uso individual","Auto",F244="Vehículo - Uso compartido","Auto",F244="Transporte público/bus de acercamiento","Bus",F244="Moto","Moto",F244="Bicicleta o caminando","Bicicleta",F244="Ninguno, pues realicé 100% teletrabajo","No aplica",F244="Moto eléctrica","Moto eléctrica",F244="Vehículo eléctrico - Uso Individual","Vehículo eléctrico",F244="Vehículo eléctrico - Uso Compartido","Vehículo eléctrico")</f>
        <v>#NAME?</v>
      </c>
      <c r="J244" s="486">
        <v>1</v>
      </c>
      <c r="K244" s="1324" t="e">
        <f t="shared" ca="1" si="0"/>
        <v>#NAME?</v>
      </c>
      <c r="L244" s="1325">
        <f ca="1">+IFERROR(VLOOKUP(I244,'Factores Emisión EDGE'!$K$267:$L$272,2,0),0)</f>
        <v>0</v>
      </c>
      <c r="M244" s="1325" t="e">
        <f t="shared" ca="1" si="1"/>
        <v>#NAME?</v>
      </c>
      <c r="N244" s="486" t="s">
        <v>3056</v>
      </c>
      <c r="O244" s="1312"/>
      <c r="P244" s="1312"/>
    </row>
    <row r="245" spans="1:16" ht="15.75" customHeight="1">
      <c r="A245" s="1314">
        <v>44930.933664675926</v>
      </c>
      <c r="B245" s="1310" t="s">
        <v>3396</v>
      </c>
      <c r="C245" s="1310" t="s">
        <v>3397</v>
      </c>
      <c r="D245" s="1310" t="s">
        <v>3107</v>
      </c>
      <c r="E245" s="1310" t="s">
        <v>3042</v>
      </c>
      <c r="F245" s="1310" t="s">
        <v>1952</v>
      </c>
      <c r="G245" s="1326">
        <v>15</v>
      </c>
      <c r="H245" s="486" t="e">
        <f t="array" aca="1" ref="H245" ca="1">+_xludf.IFS(E245="100% Presencial",1, E245="20% Teletrabajo (4 días a la semana)",0.8,E245="40% Teletrabajo (3 días a la semana)",0.6,E245="60% Teletrabajo (2 días a la semana)",0.4,E245="80% Teletrabajo (1 día a la semana)",0.2,E245="100% Teletrabajo",0)</f>
        <v>#NAME?</v>
      </c>
      <c r="I245" s="486" t="e">
        <f t="array" aca="1" ref="I245" ca="1">+_xludf.IFS(F245="Vehículo - Uso individual","Auto",F245="Vehículo - Uso compartido","Auto",F245="Transporte público/bus de acercamiento","Bus",F245="Moto","Moto",F245="Bicicleta o caminando","Bicicleta",F245="Ninguno, pues realicé 100% teletrabajo","No aplica",F245="Moto eléctrica","Moto eléctrica",F245="Vehículo eléctrico - Uso Individual","Vehículo eléctrico",F245="Vehículo eléctrico - Uso Compartido","Vehículo eléctrico")</f>
        <v>#NAME?</v>
      </c>
      <c r="J245" s="486">
        <v>1</v>
      </c>
      <c r="K245" s="1324" t="e">
        <f t="shared" ca="1" si="0"/>
        <v>#NAME?</v>
      </c>
      <c r="L245" s="1325">
        <f ca="1">+IFERROR(VLOOKUP(I245,'Factores Emisión EDGE'!$K$267:$L$272,2,0),0)</f>
        <v>0</v>
      </c>
      <c r="M245" s="1325" t="e">
        <f t="shared" ca="1" si="1"/>
        <v>#NAME?</v>
      </c>
      <c r="N245" s="486" t="s">
        <v>3056</v>
      </c>
      <c r="O245" s="1312"/>
      <c r="P245" s="1312"/>
    </row>
    <row r="246" spans="1:16" ht="15.75" customHeight="1">
      <c r="A246" s="1314">
        <v>44931.357587997685</v>
      </c>
      <c r="B246" s="1310" t="s">
        <v>3398</v>
      </c>
      <c r="C246" s="1310" t="s">
        <v>3399</v>
      </c>
      <c r="D246" s="1310" t="s">
        <v>3048</v>
      </c>
      <c r="E246" s="1310" t="s">
        <v>3066</v>
      </c>
      <c r="F246" s="1310" t="s">
        <v>1952</v>
      </c>
      <c r="G246" s="1326">
        <v>15</v>
      </c>
      <c r="H246" s="486" t="e">
        <f t="array" aca="1" ref="H246" ca="1">+_xludf.IFS(E246="100% Presencial",1, E246="20% Teletrabajo (4 días a la semana)",0.8,E246="40% Teletrabajo (3 días a la semana)",0.6,E246="60% Teletrabajo (2 días a la semana)",0.4,E246="80% Teletrabajo (1 día a la semana)",0.2,E246="100% Teletrabajo",0)</f>
        <v>#NAME?</v>
      </c>
      <c r="I246" s="486" t="e">
        <f t="array" aca="1" ref="I246" ca="1">+_xludf.IFS(F246="Vehículo - Uso individual","Auto",F246="Vehículo - Uso compartido","Auto",F246="Transporte público/bus de acercamiento","Bus",F246="Moto","Moto",F246="Bicicleta o caminando","Bicicleta",F246="Ninguno, pues realicé 100% teletrabajo","No aplica",F246="Moto eléctrica","Moto eléctrica",F246="Vehículo eléctrico - Uso Individual","Vehículo eléctrico",F246="Vehículo eléctrico - Uso Compartido","Vehículo eléctrico")</f>
        <v>#NAME?</v>
      </c>
      <c r="J246" s="486">
        <v>1</v>
      </c>
      <c r="K246" s="1324" t="e">
        <f t="shared" ca="1" si="0"/>
        <v>#NAME?</v>
      </c>
      <c r="L246" s="1325">
        <f ca="1">+IFERROR(VLOOKUP(I246,'Factores Emisión EDGE'!$K$267:$L$272,2,0),0)</f>
        <v>0</v>
      </c>
      <c r="M246" s="1325" t="e">
        <f t="shared" ca="1" si="1"/>
        <v>#NAME?</v>
      </c>
      <c r="N246" s="486" t="s">
        <v>3043</v>
      </c>
      <c r="O246" s="1312"/>
      <c r="P246" s="1312"/>
    </row>
    <row r="247" spans="1:16" ht="15.75" customHeight="1">
      <c r="A247" s="1314">
        <v>44935.482455532408</v>
      </c>
      <c r="B247" s="1310" t="s">
        <v>3400</v>
      </c>
      <c r="C247" s="1310" t="s">
        <v>2817</v>
      </c>
      <c r="D247" s="1310" t="s">
        <v>3048</v>
      </c>
      <c r="E247" s="1310" t="s">
        <v>3042</v>
      </c>
      <c r="F247" s="1310" t="s">
        <v>1995</v>
      </c>
      <c r="G247" s="1326">
        <v>15</v>
      </c>
      <c r="H247" s="486" t="e">
        <f t="array" aca="1" ref="H247" ca="1">+_xludf.IFS(E247="100% Presencial",1, E247="20% Teletrabajo (4 días a la semana)",0.8,E247="40% Teletrabajo (3 días a la semana)",0.6,E247="60% Teletrabajo (2 días a la semana)",0.4,E247="80% Teletrabajo (1 día a la semana)",0.2,E247="100% Teletrabajo",0)</f>
        <v>#NAME?</v>
      </c>
      <c r="I247" s="486" t="e">
        <f t="array" aca="1" ref="I247" ca="1">+_xludf.IFS(F247="Vehículo - Uso individual","Auto",F247="Vehículo - Uso compartido","Auto",F247="Transporte público/bus de acercamiento","Bus",F247="Moto","Moto",F247="Bicicleta o caminando","Bicicleta",F247="Ninguno, pues realicé 100% teletrabajo","No aplica",F247="Moto eléctrica","Moto eléctrica",F247="Vehículo eléctrico - Uso Individual","Vehículo eléctrico",F247="Vehículo eléctrico - Uso Compartido","Vehículo eléctrico")</f>
        <v>#NAME?</v>
      </c>
      <c r="J247" s="486">
        <v>0.25</v>
      </c>
      <c r="K247" s="1324" t="e">
        <f t="shared" ca="1" si="0"/>
        <v>#NAME?</v>
      </c>
      <c r="L247" s="1325">
        <f ca="1">+IFERROR(VLOOKUP(I247,'Factores Emisión EDGE'!$K$267:$L$272,2,0),0)</f>
        <v>0</v>
      </c>
      <c r="M247" s="1325" t="e">
        <f t="shared" ca="1" si="1"/>
        <v>#NAME?</v>
      </c>
      <c r="N247" s="486" t="s">
        <v>3043</v>
      </c>
      <c r="O247" s="1312"/>
      <c r="P247" s="1312"/>
    </row>
    <row r="248" spans="1:16" ht="15.75" customHeight="1">
      <c r="A248" s="1314">
        <v>44938.545545555557</v>
      </c>
      <c r="B248" s="1310" t="s">
        <v>3401</v>
      </c>
      <c r="C248" s="1310" t="s">
        <v>3402</v>
      </c>
      <c r="D248" s="1310" t="s">
        <v>3048</v>
      </c>
      <c r="E248" s="1310" t="s">
        <v>3042</v>
      </c>
      <c r="F248" s="1310" t="s">
        <v>3055</v>
      </c>
      <c r="G248" s="1326">
        <v>15</v>
      </c>
      <c r="H248" s="486" t="e">
        <f t="array" aca="1" ref="H248" ca="1">+_xludf.IFS(E248="100% Presencial",1, E248="20% Teletrabajo (4 días a la semana)",0.8,E248="40% Teletrabajo (3 días a la semana)",0.6,E248="60% Teletrabajo (2 días a la semana)",0.4,E248="80% Teletrabajo (1 día a la semana)",0.2,E248="100% Teletrabajo",0)</f>
        <v>#NAME?</v>
      </c>
      <c r="I248" s="486" t="e">
        <f t="array" aca="1" ref="I248" ca="1">+_xludf.IFS(F248="Vehículo - Uso individual","Auto",F248="Vehículo - Uso compartido","Auto",F248="Transporte público/bus de acercamiento","Bus",F248="Moto","Moto",F248="Bicicleta o caminando","Bicicleta",F248="Ninguno, pues realicé 100% teletrabajo","No aplica",F248="Moto eléctrica","Moto eléctrica",F248="Vehículo eléctrico - Uso Individual","Vehículo eléctrico",F248="Vehículo eléctrico - Uso Compartido","Vehículo eléctrico")</f>
        <v>#NAME?</v>
      </c>
      <c r="J248" s="486">
        <v>1</v>
      </c>
      <c r="K248" s="1324" t="e">
        <f t="shared" ca="1" si="0"/>
        <v>#NAME?</v>
      </c>
      <c r="L248" s="1325">
        <f ca="1">+IFERROR(VLOOKUP(I248,'Factores Emisión EDGE'!$K$267:$L$272,2,0),0)</f>
        <v>0</v>
      </c>
      <c r="M248" s="1325" t="e">
        <f t="shared" ca="1" si="1"/>
        <v>#NAME?</v>
      </c>
      <c r="N248" s="486" t="s">
        <v>3056</v>
      </c>
      <c r="O248" s="1312"/>
      <c r="P248" s="1312"/>
    </row>
    <row r="249" spans="1:16" ht="15.75" customHeight="1">
      <c r="A249" s="1314">
        <v>44938.515110347224</v>
      </c>
      <c r="B249" s="1310" t="s">
        <v>3403</v>
      </c>
      <c r="C249" s="1310" t="s">
        <v>2410</v>
      </c>
      <c r="D249" s="1310" t="s">
        <v>3048</v>
      </c>
      <c r="E249" s="1310" t="s">
        <v>3066</v>
      </c>
      <c r="F249" s="1310" t="s">
        <v>3050</v>
      </c>
      <c r="G249" s="1326">
        <v>10</v>
      </c>
      <c r="H249" s="486" t="e">
        <f t="array" aca="1" ref="H249" ca="1">+_xludf.IFS(E249="100% Presencial",1, E249="20% Teletrabajo (4 días a la semana)",0.8,E249="40% Teletrabajo (3 días a la semana)",0.6,E249="60% Teletrabajo (2 días a la semana)",0.4,E249="80% Teletrabajo (1 día a la semana)",0.2,E249="100% Teletrabajo",0)</f>
        <v>#NAME?</v>
      </c>
      <c r="I249" s="486" t="e">
        <f t="array" aca="1" ref="I249" ca="1">+_xludf.IFS(F249="Vehículo - Uso individual","Auto",F249="Vehículo - Uso compartido","Auto",F249="Transporte público/bus de acercamiento","Bus",F249="Moto","Moto",F249="Bicicleta o caminando","Bicicleta",F249="Ninguno, pues realicé 100% teletrabajo","No aplica",F249="Moto eléctrica","Moto eléctrica",F249="Vehículo eléctrico - Uso Individual","Vehículo eléctrico",F249="Vehículo eléctrico - Uso Compartido","Vehículo eléctrico")</f>
        <v>#NAME?</v>
      </c>
      <c r="J249" s="486">
        <v>1</v>
      </c>
      <c r="K249" s="1324" t="e">
        <f t="shared" ca="1" si="0"/>
        <v>#NAME?</v>
      </c>
      <c r="L249" s="1325">
        <f ca="1">+IFERROR(VLOOKUP(I249,'Factores Emisión EDGE'!$K$267:$L$272,2,0),0)</f>
        <v>0</v>
      </c>
      <c r="M249" s="1325" t="e">
        <f t="shared" ca="1" si="1"/>
        <v>#NAME?</v>
      </c>
      <c r="N249" s="486" t="s">
        <v>3043</v>
      </c>
      <c r="O249" s="1312"/>
      <c r="P249" s="1312"/>
    </row>
    <row r="250" spans="1:16" ht="15.75" customHeight="1">
      <c r="A250" s="1314">
        <v>44938.745076087958</v>
      </c>
      <c r="B250" s="1310" t="s">
        <v>3404</v>
      </c>
      <c r="C250" s="1310" t="s">
        <v>3405</v>
      </c>
      <c r="D250" s="1310" t="s">
        <v>3107</v>
      </c>
      <c r="E250" s="1310" t="s">
        <v>3042</v>
      </c>
      <c r="F250" s="1310" t="s">
        <v>1952</v>
      </c>
      <c r="G250" s="1326">
        <v>15</v>
      </c>
      <c r="H250" s="486" t="e">
        <f t="array" aca="1" ref="H250" ca="1">+_xludf.IFS(E250="100% Presencial",1, E250="20% Teletrabajo (4 días a la semana)",0.8,E250="40% Teletrabajo (3 días a la semana)",0.6,E250="60% Teletrabajo (2 días a la semana)",0.4,E250="80% Teletrabajo (1 día a la semana)",0.2,E250="100% Teletrabajo",0)</f>
        <v>#NAME?</v>
      </c>
      <c r="I250" s="486" t="e">
        <f t="array" aca="1" ref="I250" ca="1">+_xludf.IFS(F250="Vehículo - Uso individual","Auto",F250="Vehículo - Uso compartido","Auto",F250="Transporte público/bus de acercamiento","Bus",F250="Moto","Moto",F250="Bicicleta o caminando","Bicicleta",F250="Ninguno, pues realicé 100% teletrabajo","No aplica",F250="Moto eléctrica","Moto eléctrica",F250="Vehículo eléctrico - Uso Individual","Vehículo eléctrico",F250="Vehículo eléctrico - Uso Compartido","Vehículo eléctrico")</f>
        <v>#NAME?</v>
      </c>
      <c r="J250" s="486">
        <v>1</v>
      </c>
      <c r="K250" s="1324" t="e">
        <f t="shared" ca="1" si="0"/>
        <v>#NAME?</v>
      </c>
      <c r="L250" s="1325">
        <f ca="1">+IFERROR(VLOOKUP(I250,'Factores Emisión EDGE'!$K$267:$L$272,2,0),0)</f>
        <v>0</v>
      </c>
      <c r="M250" s="1325" t="e">
        <f t="shared" ca="1" si="1"/>
        <v>#NAME?</v>
      </c>
      <c r="N250" s="486" t="s">
        <v>3056</v>
      </c>
      <c r="O250" s="1312"/>
      <c r="P250" s="1312"/>
    </row>
    <row r="251" spans="1:16" ht="15.75" customHeight="1">
      <c r="A251" s="1314">
        <v>44939.376201898151</v>
      </c>
      <c r="B251" s="1310" t="s">
        <v>2627</v>
      </c>
      <c r="C251" s="1310" t="s">
        <v>2628</v>
      </c>
      <c r="D251" s="1310" t="s">
        <v>3048</v>
      </c>
      <c r="E251" s="1310" t="s">
        <v>885</v>
      </c>
      <c r="F251" s="1310" t="s">
        <v>1995</v>
      </c>
      <c r="G251" s="1326">
        <v>15</v>
      </c>
      <c r="H251" s="486" t="e">
        <f t="array" aca="1" ref="H251" ca="1">+_xludf.IFS(E251="100% Presencial",1, E251="20% Teletrabajo (4 días a la semana)",0.8,E251="40% Teletrabajo (3 días a la semana)",0.6,E251="60% Teletrabajo (2 días a la semana)",0.4,E251="80% Teletrabajo (1 día a la semana)",0.2,E251="100% Teletrabajo",0)</f>
        <v>#NAME?</v>
      </c>
      <c r="I251" s="486" t="e">
        <f t="array" aca="1" ref="I251" ca="1">+_xludf.IFS(F251="Vehículo - Uso individual","Auto",F251="Vehículo - Uso compartido","Auto",F251="Transporte público/bus de acercamiento","Bus",F251="Moto","Moto",F251="Bicicleta o caminando","Bicicleta",F251="Ninguno, pues realicé 100% teletrabajo","No aplica",F251="Moto eléctrica","Moto eléctrica",F251="Vehículo eléctrico - Uso Individual","Vehículo eléctrico",F251="Vehículo eléctrico - Uso Compartido","Vehículo eléctrico")</f>
        <v>#NAME?</v>
      </c>
      <c r="J251" s="486">
        <v>0.25</v>
      </c>
      <c r="K251" s="1324" t="e">
        <f t="shared" ca="1" si="0"/>
        <v>#NAME?</v>
      </c>
      <c r="L251" s="1325">
        <f ca="1">+IFERROR(VLOOKUP(I251,'Factores Emisión EDGE'!$K$267:$L$272,2,0),0)</f>
        <v>0</v>
      </c>
      <c r="M251" s="1325" t="e">
        <f t="shared" ca="1" si="1"/>
        <v>#NAME?</v>
      </c>
      <c r="N251" s="486" t="s">
        <v>3043</v>
      </c>
      <c r="O251" s="1312"/>
      <c r="P251" s="1312"/>
    </row>
    <row r="252" spans="1:16" ht="15.75" customHeight="1">
      <c r="A252" s="1314">
        <v>44939.379038090279</v>
      </c>
      <c r="B252" s="1310" t="s">
        <v>3406</v>
      </c>
      <c r="C252" s="1310" t="s">
        <v>2037</v>
      </c>
      <c r="D252" s="1310" t="s">
        <v>3048</v>
      </c>
      <c r="E252" s="1310" t="s">
        <v>881</v>
      </c>
      <c r="F252" s="1310" t="s">
        <v>1952</v>
      </c>
      <c r="G252" s="1326">
        <v>15</v>
      </c>
      <c r="H252" s="486" t="e">
        <f t="array" aca="1" ref="H252" ca="1">+_xludf.IFS(E252="100% Presencial",1, E252="20% Teletrabajo (4 días a la semana)",0.8,E252="40% Teletrabajo (3 días a la semana)",0.6,E252="60% Teletrabajo (2 días a la semana)",0.4,E252="80% Teletrabajo (1 día a la semana)",0.2,E252="100% Teletrabajo",0)</f>
        <v>#NAME?</v>
      </c>
      <c r="I252" s="486" t="e">
        <f t="array" aca="1" ref="I252" ca="1">+_xludf.IFS(F252="Vehículo - Uso individual","Auto",F252="Vehículo - Uso compartido","Auto",F252="Transporte público/bus de acercamiento","Bus",F252="Moto","Moto",F252="Bicicleta o caminando","Bicicleta",F252="Ninguno, pues realicé 100% teletrabajo","No aplica",F252="Moto eléctrica","Moto eléctrica",F252="Vehículo eléctrico - Uso Individual","Vehículo eléctrico",F252="Vehículo eléctrico - Uso Compartido","Vehículo eléctrico")</f>
        <v>#NAME?</v>
      </c>
      <c r="J252" s="486">
        <v>1</v>
      </c>
      <c r="K252" s="1324" t="e">
        <f t="shared" ca="1" si="0"/>
        <v>#NAME?</v>
      </c>
      <c r="L252" s="1325">
        <f ca="1">+IFERROR(VLOOKUP(I252,'Factores Emisión EDGE'!$K$267:$L$272,2,0),0)</f>
        <v>0</v>
      </c>
      <c r="M252" s="1325" t="e">
        <f t="shared" ca="1" si="1"/>
        <v>#NAME?</v>
      </c>
      <c r="N252" s="486" t="s">
        <v>3043</v>
      </c>
      <c r="O252" s="1312"/>
      <c r="P252" s="1312"/>
    </row>
    <row r="253" spans="1:16" ht="15.75" customHeight="1">
      <c r="A253" s="1314">
        <v>44939.401360694443</v>
      </c>
      <c r="B253" s="1310" t="s">
        <v>3407</v>
      </c>
      <c r="C253" s="1310" t="s">
        <v>2460</v>
      </c>
      <c r="D253" s="1310" t="s">
        <v>3285</v>
      </c>
      <c r="E253" s="1310" t="s">
        <v>3042</v>
      </c>
      <c r="F253" s="1310" t="s">
        <v>3055</v>
      </c>
      <c r="G253" s="1326">
        <v>15</v>
      </c>
      <c r="H253" s="486" t="e">
        <f t="array" aca="1" ref="H253" ca="1">+_xludf.IFS(E253="100% Presencial",1, E253="20% Teletrabajo (4 días a la semana)",0.8,E253="40% Teletrabajo (3 días a la semana)",0.6,E253="60% Teletrabajo (2 días a la semana)",0.4,E253="80% Teletrabajo (1 día a la semana)",0.2,E253="100% Teletrabajo",0)</f>
        <v>#NAME?</v>
      </c>
      <c r="I253" s="486" t="e">
        <f t="array" aca="1" ref="I253" ca="1">+_xludf.IFS(F253="Vehículo - Uso individual","Auto",F253="Vehículo - Uso compartido","Auto",F253="Transporte público/bus de acercamiento","Bus",F253="Moto","Moto",F253="Bicicleta o caminando","Bicicleta",F253="Ninguno, pues realicé 100% teletrabajo","No aplica",F253="Moto eléctrica","Moto eléctrica",F253="Vehículo eléctrico - Uso Individual","Vehículo eléctrico",F253="Vehículo eléctrico - Uso Compartido","Vehículo eléctrico")</f>
        <v>#NAME?</v>
      </c>
      <c r="J253" s="486">
        <v>1</v>
      </c>
      <c r="K253" s="1324" t="e">
        <f t="shared" ca="1" si="0"/>
        <v>#NAME?</v>
      </c>
      <c r="L253" s="1325">
        <f ca="1">+IFERROR(VLOOKUP(I253,'Factores Emisión EDGE'!$K$267:$L$272,2,0),0)</f>
        <v>0</v>
      </c>
      <c r="M253" s="1325" t="e">
        <f t="shared" ca="1" si="1"/>
        <v>#NAME?</v>
      </c>
      <c r="N253" s="486" t="s">
        <v>3043</v>
      </c>
      <c r="O253" s="1312"/>
      <c r="P253" s="1312"/>
    </row>
    <row r="254" spans="1:16" ht="15.75" customHeight="1">
      <c r="A254" s="1314">
        <v>44939.664434918981</v>
      </c>
      <c r="B254" s="1310" t="s">
        <v>3408</v>
      </c>
      <c r="C254" s="1310" t="s">
        <v>3409</v>
      </c>
      <c r="D254" s="1310" t="s">
        <v>3063</v>
      </c>
      <c r="E254" s="1310" t="s">
        <v>3042</v>
      </c>
      <c r="F254" s="1310" t="s">
        <v>1952</v>
      </c>
      <c r="G254" s="1326">
        <v>14.4</v>
      </c>
      <c r="H254" s="486" t="e">
        <f t="array" aca="1" ref="H254" ca="1">+_xludf.IFS(E254="100% Presencial",1, E254="20% Teletrabajo (4 días a la semana)",0.8,E254="40% Teletrabajo (3 días a la semana)",0.6,E254="60% Teletrabajo (2 días a la semana)",0.4,E254="80% Teletrabajo (1 día a la semana)",0.2,E254="100% Teletrabajo",0)</f>
        <v>#NAME?</v>
      </c>
      <c r="I254" s="486" t="e">
        <f t="array" aca="1" ref="I254" ca="1">+_xludf.IFS(F254="Vehículo - Uso individual","Auto",F254="Vehículo - Uso compartido","Auto",F254="Transporte público/bus de acercamiento","Bus",F254="Moto","Moto",F254="Bicicleta o caminando","Bicicleta",F254="Ninguno, pues realicé 100% teletrabajo","No aplica",F254="Moto eléctrica","Moto eléctrica",F254="Vehículo eléctrico - Uso Individual","Vehículo eléctrico",F254="Vehículo eléctrico - Uso Compartido","Vehículo eléctrico")</f>
        <v>#NAME?</v>
      </c>
      <c r="J254" s="486">
        <v>1</v>
      </c>
      <c r="K254" s="1324" t="e">
        <f t="shared" ca="1" si="0"/>
        <v>#NAME?</v>
      </c>
      <c r="L254" s="1325">
        <f ca="1">+IFERROR(VLOOKUP(I254,'Factores Emisión EDGE'!$K$267:$L$272,2,0),0)</f>
        <v>0</v>
      </c>
      <c r="M254" s="1325" t="e">
        <f t="shared" ca="1" si="1"/>
        <v>#NAME?</v>
      </c>
      <c r="N254" s="486" t="s">
        <v>3043</v>
      </c>
      <c r="O254" s="1312"/>
      <c r="P254" s="1312"/>
    </row>
    <row r="255" spans="1:16" ht="15.75" customHeight="1">
      <c r="A255" s="1314">
        <v>44930.510868784724</v>
      </c>
      <c r="B255" s="1310" t="s">
        <v>3410</v>
      </c>
      <c r="C255" s="1310" t="s">
        <v>3411</v>
      </c>
      <c r="D255" s="1310" t="s">
        <v>3063</v>
      </c>
      <c r="E255" s="1310" t="s">
        <v>3042</v>
      </c>
      <c r="F255" s="1310" t="s">
        <v>1995</v>
      </c>
      <c r="G255" s="1326">
        <v>14.3</v>
      </c>
      <c r="H255" s="486" t="e">
        <f t="array" aca="1" ref="H255" ca="1">+_xludf.IFS(E255="100% Presencial",1, E255="20% Teletrabajo (4 días a la semana)",0.8,E255="40% Teletrabajo (3 días a la semana)",0.6,E255="60% Teletrabajo (2 días a la semana)",0.4,E255="80% Teletrabajo (1 día a la semana)",0.2,E255="100% Teletrabajo",0)</f>
        <v>#NAME?</v>
      </c>
      <c r="I255" s="486" t="e">
        <f t="array" aca="1" ref="I255" ca="1">+_xludf.IFS(F255="Vehículo - Uso individual","Auto",F255="Vehículo - Uso compartido","Auto",F255="Transporte público/bus de acercamiento","Bus",F255="Moto","Moto",F255="Bicicleta o caminando","Bicicleta",F255="Ninguno, pues realicé 100% teletrabajo","No aplica",F255="Moto eléctrica","Moto eléctrica",F255="Vehículo eléctrico - Uso Individual","Vehículo eléctrico",F255="Vehículo eléctrico - Uso Compartido","Vehículo eléctrico")</f>
        <v>#NAME?</v>
      </c>
      <c r="J255" s="486">
        <v>0.25</v>
      </c>
      <c r="K255" s="1324" t="e">
        <f t="shared" ca="1" si="0"/>
        <v>#NAME?</v>
      </c>
      <c r="L255" s="1325">
        <f ca="1">+IFERROR(VLOOKUP(I255,'Factores Emisión EDGE'!$K$267:$L$272,2,0),0)</f>
        <v>0</v>
      </c>
      <c r="M255" s="1325" t="e">
        <f t="shared" ca="1" si="1"/>
        <v>#NAME?</v>
      </c>
      <c r="N255" s="486" t="s">
        <v>3056</v>
      </c>
      <c r="O255" s="1312"/>
      <c r="P255" s="1312"/>
    </row>
    <row r="256" spans="1:16" ht="15.75" customHeight="1">
      <c r="A256" s="1314">
        <v>44929.486464409725</v>
      </c>
      <c r="B256" s="1310" t="s">
        <v>2079</v>
      </c>
      <c r="C256" s="1310" t="s">
        <v>2080</v>
      </c>
      <c r="D256" s="1310" t="s">
        <v>3048</v>
      </c>
      <c r="E256" s="1310" t="s">
        <v>885</v>
      </c>
      <c r="F256" s="1310" t="s">
        <v>1952</v>
      </c>
      <c r="G256" s="1326">
        <v>14.3</v>
      </c>
      <c r="H256" s="486" t="e">
        <f t="array" aca="1" ref="H256" ca="1">+_xludf.IFS(E256="100% Presencial",1, E256="20% Teletrabajo (4 días a la semana)",0.8,E256="40% Teletrabajo (3 días a la semana)",0.6,E256="60% Teletrabajo (2 días a la semana)",0.4,E256="80% Teletrabajo (1 día a la semana)",0.2,E256="100% Teletrabajo",0)</f>
        <v>#NAME?</v>
      </c>
      <c r="I256" s="486" t="e">
        <f t="array" aca="1" ref="I256" ca="1">+_xludf.IFS(F256="Vehículo - Uso individual","Auto",F256="Vehículo - Uso compartido","Auto",F256="Transporte público/bus de acercamiento","Bus",F256="Moto","Moto",F256="Bicicleta o caminando","Bicicleta",F256="Ninguno, pues realicé 100% teletrabajo","No aplica",F256="Moto eléctrica","Moto eléctrica",F256="Vehículo eléctrico - Uso Individual","Vehículo eléctrico",F256="Vehículo eléctrico - Uso Compartido","Vehículo eléctrico")</f>
        <v>#NAME?</v>
      </c>
      <c r="J256" s="486">
        <v>1</v>
      </c>
      <c r="K256" s="1324" t="e">
        <f t="shared" ca="1" si="0"/>
        <v>#NAME?</v>
      </c>
      <c r="L256" s="1325">
        <f ca="1">+IFERROR(VLOOKUP(I256,'Factores Emisión EDGE'!$K$267:$L$272,2,0),0)</f>
        <v>0</v>
      </c>
      <c r="M256" s="1325" t="e">
        <f t="shared" ca="1" si="1"/>
        <v>#NAME?</v>
      </c>
      <c r="N256" s="486" t="s">
        <v>3043</v>
      </c>
      <c r="O256" s="1312"/>
      <c r="P256" s="1312"/>
    </row>
    <row r="257" spans="1:16" ht="15.75" customHeight="1">
      <c r="A257" s="1314">
        <v>44929.62943025463</v>
      </c>
      <c r="B257" s="1310" t="s">
        <v>2928</v>
      </c>
      <c r="C257" s="1310" t="s">
        <v>2929</v>
      </c>
      <c r="D257" s="1310" t="s">
        <v>3048</v>
      </c>
      <c r="E257" s="1310" t="s">
        <v>3042</v>
      </c>
      <c r="F257" s="1310" t="s">
        <v>3055</v>
      </c>
      <c r="G257" s="1326">
        <v>14.3</v>
      </c>
      <c r="H257" s="486" t="e">
        <f t="array" aca="1" ref="H257" ca="1">+_xludf.IFS(E257="100% Presencial",1, E257="20% Teletrabajo (4 días a la semana)",0.8,E257="40% Teletrabajo (3 días a la semana)",0.6,E257="60% Teletrabajo (2 días a la semana)",0.4,E257="80% Teletrabajo (1 día a la semana)",0.2,E257="100% Teletrabajo",0)</f>
        <v>#NAME?</v>
      </c>
      <c r="I257" s="486" t="e">
        <f t="array" aca="1" ref="I257" ca="1">+_xludf.IFS(F257="Vehículo - Uso individual","Auto",F257="Vehículo - Uso compartido","Auto",F257="Transporte público/bus de acercamiento","Bus",F257="Moto","Moto",F257="Bicicleta o caminando","Bicicleta",F257="Ninguno, pues realicé 100% teletrabajo","No aplica",F257="Moto eléctrica","Moto eléctrica",F257="Vehículo eléctrico - Uso Individual","Vehículo eléctrico",F257="Vehículo eléctrico - Uso Compartido","Vehículo eléctrico")</f>
        <v>#NAME?</v>
      </c>
      <c r="J257" s="486">
        <v>1</v>
      </c>
      <c r="K257" s="1324" t="e">
        <f t="shared" ref="K257:K511" ca="1" si="3">+H257*G257*2*$W$5</f>
        <v>#NAME?</v>
      </c>
      <c r="L257" s="1325">
        <f ca="1">+IFERROR(VLOOKUP(I257,'Factores Emisión EDGE'!$K$267:$L$272,2,0),0)</f>
        <v>0</v>
      </c>
      <c r="M257" s="1325" t="e">
        <f t="shared" ref="M257:M511" ca="1" si="4">+L257*K257*H257/1000</f>
        <v>#NAME?</v>
      </c>
      <c r="N257" s="486" t="s">
        <v>3043</v>
      </c>
      <c r="O257" s="1312"/>
      <c r="P257" s="1312"/>
    </row>
    <row r="258" spans="1:16" ht="15.75" customHeight="1">
      <c r="A258" s="1314">
        <v>44938.55174920139</v>
      </c>
      <c r="B258" s="1310" t="s">
        <v>3412</v>
      </c>
      <c r="C258" s="1310" t="s">
        <v>3411</v>
      </c>
      <c r="D258" s="1310" t="s">
        <v>3063</v>
      </c>
      <c r="E258" s="1310" t="s">
        <v>3042</v>
      </c>
      <c r="F258" s="1310" t="s">
        <v>1952</v>
      </c>
      <c r="G258" s="1326">
        <v>14</v>
      </c>
      <c r="H258" s="486" t="e">
        <f t="array" aca="1" ref="H258" ca="1">+_xludf.IFS(E258="100% Presencial",1, E258="20% Teletrabajo (4 días a la semana)",0.8,E258="40% Teletrabajo (3 días a la semana)",0.6,E258="60% Teletrabajo (2 días a la semana)",0.4,E258="80% Teletrabajo (1 día a la semana)",0.2,E258="100% Teletrabajo",0)</f>
        <v>#NAME?</v>
      </c>
      <c r="I258" s="486" t="e">
        <f t="array" aca="1" ref="I258" ca="1">+_xludf.IFS(F258="Vehículo - Uso individual","Auto",F258="Vehículo - Uso compartido","Auto",F258="Transporte público/bus de acercamiento","Bus",F258="Moto","Moto",F258="Bicicleta o caminando","Bicicleta",F258="Ninguno, pues realicé 100% teletrabajo","No aplica",F258="Moto eléctrica","Moto eléctrica",F258="Vehículo eléctrico - Uso Individual","Vehículo eléctrico",F258="Vehículo eléctrico - Uso Compartido","Vehículo eléctrico")</f>
        <v>#NAME?</v>
      </c>
      <c r="J258" s="486">
        <v>1</v>
      </c>
      <c r="K258" s="1324" t="e">
        <f t="shared" ca="1" si="3"/>
        <v>#NAME?</v>
      </c>
      <c r="L258" s="1325">
        <f ca="1">+IFERROR(VLOOKUP(I258,'Factores Emisión EDGE'!$K$267:$L$272,2,0),0)</f>
        <v>0</v>
      </c>
      <c r="M258" s="1325" t="e">
        <f t="shared" ca="1" si="4"/>
        <v>#NAME?</v>
      </c>
      <c r="N258" s="486" t="s">
        <v>3056</v>
      </c>
      <c r="O258" s="1312"/>
      <c r="P258" s="1312"/>
    </row>
    <row r="259" spans="1:16" ht="15.75" customHeight="1">
      <c r="A259" s="1314">
        <v>44929.483144930557</v>
      </c>
      <c r="B259" s="1310" t="s">
        <v>3413</v>
      </c>
      <c r="C259" s="1310" t="s">
        <v>3414</v>
      </c>
      <c r="D259" s="1310" t="s">
        <v>3048</v>
      </c>
      <c r="E259" s="1310" t="s">
        <v>3066</v>
      </c>
      <c r="F259" s="1310" t="s">
        <v>3055</v>
      </c>
      <c r="G259" s="1326">
        <v>14</v>
      </c>
      <c r="H259" s="486" t="e">
        <f t="array" aca="1" ref="H259" ca="1">+_xludf.IFS(E259="100% Presencial",1, E259="20% Teletrabajo (4 días a la semana)",0.8,E259="40% Teletrabajo (3 días a la semana)",0.6,E259="60% Teletrabajo (2 días a la semana)",0.4,E259="80% Teletrabajo (1 día a la semana)",0.2,E259="100% Teletrabajo",0)</f>
        <v>#NAME?</v>
      </c>
      <c r="I259" s="486" t="e">
        <f t="array" aca="1" ref="I259" ca="1">+_xludf.IFS(F259="Vehículo - Uso individual","Auto",F259="Vehículo - Uso compartido","Auto",F259="Transporte público/bus de acercamiento","Bus",F259="Moto","Moto",F259="Bicicleta o caminando","Bicicleta",F259="Ninguno, pues realicé 100% teletrabajo","No aplica",F259="Moto eléctrica","Moto eléctrica",F259="Vehículo eléctrico - Uso Individual","Vehículo eléctrico",F259="Vehículo eléctrico - Uso Compartido","Vehículo eléctrico")</f>
        <v>#NAME?</v>
      </c>
      <c r="J259" s="486">
        <v>1</v>
      </c>
      <c r="K259" s="1324" t="e">
        <f t="shared" ca="1" si="3"/>
        <v>#NAME?</v>
      </c>
      <c r="L259" s="1325">
        <f ca="1">+IFERROR(VLOOKUP(I259,'Factores Emisión EDGE'!$K$267:$L$272,2,0),0)</f>
        <v>0</v>
      </c>
      <c r="M259" s="1325" t="e">
        <f t="shared" ca="1" si="4"/>
        <v>#NAME?</v>
      </c>
      <c r="N259" s="486" t="s">
        <v>3043</v>
      </c>
      <c r="O259" s="1312"/>
      <c r="P259" s="1312"/>
    </row>
    <row r="260" spans="1:16" ht="15.75" customHeight="1">
      <c r="A260" s="1314">
        <v>44929.680080879625</v>
      </c>
      <c r="B260" s="1310" t="s">
        <v>3415</v>
      </c>
      <c r="C260" s="1310" t="s">
        <v>2003</v>
      </c>
      <c r="E260" s="1310" t="s">
        <v>883</v>
      </c>
      <c r="F260" s="1310" t="s">
        <v>3055</v>
      </c>
      <c r="G260" s="1326">
        <v>14</v>
      </c>
      <c r="H260" s="486" t="e">
        <f t="array" aca="1" ref="H260" ca="1">+_xludf.IFS(E260="100% Presencial",1, E260="20% Teletrabajo (4 días a la semana)",0.8,E260="40% Teletrabajo (3 días a la semana)",0.6,E260="60% Teletrabajo (2 días a la semana)",0.4,E260="80% Teletrabajo (1 día a la semana)",0.2,E260="100% Teletrabajo",0)</f>
        <v>#NAME?</v>
      </c>
      <c r="I260" s="486" t="e">
        <f t="array" aca="1" ref="I260" ca="1">+_xludf.IFS(F260="Vehículo - Uso individual","Auto",F260="Vehículo - Uso compartido","Auto",F260="Transporte público/bus de acercamiento","Bus",F260="Moto","Moto",F260="Bicicleta o caminando","Bicicleta",F260="Ninguno, pues realicé 100% teletrabajo","No aplica",F260="Moto eléctrica","Moto eléctrica",F260="Vehículo eléctrico - Uso Individual","Vehículo eléctrico",F260="Vehículo eléctrico - Uso Compartido","Vehículo eléctrico")</f>
        <v>#NAME?</v>
      </c>
      <c r="J260" s="486">
        <v>1</v>
      </c>
      <c r="K260" s="1324" t="e">
        <f t="shared" ca="1" si="3"/>
        <v>#NAME?</v>
      </c>
      <c r="L260" s="1325">
        <f ca="1">+IFERROR(VLOOKUP(I260,'Factores Emisión EDGE'!$K$267:$L$272,2,0),0)</f>
        <v>0</v>
      </c>
      <c r="M260" s="1325" t="e">
        <f t="shared" ca="1" si="4"/>
        <v>#NAME?</v>
      </c>
      <c r="N260" s="486" t="s">
        <v>3043</v>
      </c>
      <c r="O260" s="1312"/>
      <c r="P260" s="1312"/>
    </row>
    <row r="261" spans="1:16" ht="15.75" customHeight="1">
      <c r="A261" s="1314">
        <v>44929.729904699074</v>
      </c>
      <c r="B261" s="1310" t="s">
        <v>3416</v>
      </c>
      <c r="C261" s="1310" t="s">
        <v>2155</v>
      </c>
      <c r="D261" s="1310" t="s">
        <v>3048</v>
      </c>
      <c r="E261" s="1310" t="s">
        <v>3066</v>
      </c>
      <c r="F261" s="1310" t="s">
        <v>1952</v>
      </c>
      <c r="G261" s="1326">
        <v>14</v>
      </c>
      <c r="H261" s="486" t="e">
        <f t="array" aca="1" ref="H261" ca="1">+_xludf.IFS(E261="100% Presencial",1, E261="20% Teletrabajo (4 días a la semana)",0.8,E261="40% Teletrabajo (3 días a la semana)",0.6,E261="60% Teletrabajo (2 días a la semana)",0.4,E261="80% Teletrabajo (1 día a la semana)",0.2,E261="100% Teletrabajo",0)</f>
        <v>#NAME?</v>
      </c>
      <c r="I261" s="486" t="e">
        <f t="array" aca="1" ref="I261" ca="1">+_xludf.IFS(F261="Vehículo - Uso individual","Auto",F261="Vehículo - Uso compartido","Auto",F261="Transporte público/bus de acercamiento","Bus",F261="Moto","Moto",F261="Bicicleta o caminando","Bicicleta",F261="Ninguno, pues realicé 100% teletrabajo","No aplica",F261="Moto eléctrica","Moto eléctrica",F261="Vehículo eléctrico - Uso Individual","Vehículo eléctrico",F261="Vehículo eléctrico - Uso Compartido","Vehículo eléctrico")</f>
        <v>#NAME?</v>
      </c>
      <c r="J261" s="486">
        <v>1</v>
      </c>
      <c r="K261" s="1324" t="e">
        <f t="shared" ca="1" si="3"/>
        <v>#NAME?</v>
      </c>
      <c r="L261" s="1325">
        <f ca="1">+IFERROR(VLOOKUP(I261,'Factores Emisión EDGE'!$K$267:$L$272,2,0),0)</f>
        <v>0</v>
      </c>
      <c r="M261" s="1325" t="e">
        <f t="shared" ca="1" si="4"/>
        <v>#NAME?</v>
      </c>
      <c r="N261" s="486" t="s">
        <v>3043</v>
      </c>
      <c r="O261" s="1312"/>
      <c r="P261" s="1312"/>
    </row>
    <row r="262" spans="1:16" ht="15.75" customHeight="1">
      <c r="A262" s="1314">
        <v>44936.934935659723</v>
      </c>
      <c r="B262" s="1310" t="s">
        <v>3417</v>
      </c>
      <c r="C262" s="1310" t="s">
        <v>3418</v>
      </c>
      <c r="D262" s="1310" t="s">
        <v>3048</v>
      </c>
      <c r="E262" s="1310" t="s">
        <v>3042</v>
      </c>
      <c r="F262" s="1310" t="s">
        <v>1952</v>
      </c>
      <c r="G262" s="1326">
        <v>14</v>
      </c>
      <c r="H262" s="486" t="e">
        <f t="array" aca="1" ref="H262" ca="1">+_xludf.IFS(E262="100% Presencial",1, E262="20% Teletrabajo (4 días a la semana)",0.8,E262="40% Teletrabajo (3 días a la semana)",0.6,E262="60% Teletrabajo (2 días a la semana)",0.4,E262="80% Teletrabajo (1 día a la semana)",0.2,E262="100% Teletrabajo",0)</f>
        <v>#NAME?</v>
      </c>
      <c r="I262" s="486" t="e">
        <f t="array" aca="1" ref="I262" ca="1">+_xludf.IFS(F262="Vehículo - Uso individual","Auto",F262="Vehículo - Uso compartido","Auto",F262="Transporte público/bus de acercamiento","Bus",F262="Moto","Moto",F262="Bicicleta o caminando","Bicicleta",F262="Ninguno, pues realicé 100% teletrabajo","No aplica",F262="Moto eléctrica","Moto eléctrica",F262="Vehículo eléctrico - Uso Individual","Vehículo eléctrico",F262="Vehículo eléctrico - Uso Compartido","Vehículo eléctrico")</f>
        <v>#NAME?</v>
      </c>
      <c r="J262" s="486">
        <v>1</v>
      </c>
      <c r="K262" s="1324" t="e">
        <f t="shared" ca="1" si="3"/>
        <v>#NAME?</v>
      </c>
      <c r="L262" s="1325">
        <f ca="1">+IFERROR(VLOOKUP(I262,'Factores Emisión EDGE'!$K$267:$L$272,2,0),0)</f>
        <v>0</v>
      </c>
      <c r="M262" s="1325" t="e">
        <f t="shared" ca="1" si="4"/>
        <v>#NAME?</v>
      </c>
      <c r="N262" s="486" t="s">
        <v>3056</v>
      </c>
      <c r="O262" s="1312"/>
      <c r="P262" s="1312"/>
    </row>
    <row r="263" spans="1:16" ht="15.75" customHeight="1">
      <c r="A263" s="1314">
        <v>44939.381652928241</v>
      </c>
      <c r="B263" s="1310" t="s">
        <v>3419</v>
      </c>
      <c r="C263" s="1310" t="s">
        <v>3420</v>
      </c>
      <c r="D263" s="1310" t="s">
        <v>3048</v>
      </c>
      <c r="E263" s="1310" t="s">
        <v>3042</v>
      </c>
      <c r="F263" s="1310" t="s">
        <v>3055</v>
      </c>
      <c r="G263" s="1326">
        <v>14</v>
      </c>
      <c r="H263" s="486" t="e">
        <f t="array" aca="1" ref="H263" ca="1">+_xludf.IFS(E263="100% Presencial",1, E263="20% Teletrabajo (4 días a la semana)",0.8,E263="40% Teletrabajo (3 días a la semana)",0.6,E263="60% Teletrabajo (2 días a la semana)",0.4,E263="80% Teletrabajo (1 día a la semana)",0.2,E263="100% Teletrabajo",0)</f>
        <v>#NAME?</v>
      </c>
      <c r="I263" s="486" t="e">
        <f t="array" aca="1" ref="I263" ca="1">+_xludf.IFS(F263="Vehículo - Uso individual","Auto",F263="Vehículo - Uso compartido","Auto",F263="Transporte público/bus de acercamiento","Bus",F263="Moto","Moto",F263="Bicicleta o caminando","Bicicleta",F263="Ninguno, pues realicé 100% teletrabajo","No aplica",F263="Moto eléctrica","Moto eléctrica",F263="Vehículo eléctrico - Uso Individual","Vehículo eléctrico",F263="Vehículo eléctrico - Uso Compartido","Vehículo eléctrico")</f>
        <v>#NAME?</v>
      </c>
      <c r="J263" s="486">
        <v>1</v>
      </c>
      <c r="K263" s="1324" t="e">
        <f t="shared" ca="1" si="3"/>
        <v>#NAME?</v>
      </c>
      <c r="L263" s="1325">
        <f ca="1">+IFERROR(VLOOKUP(I263,'Factores Emisión EDGE'!$K$267:$L$272,2,0),0)</f>
        <v>0</v>
      </c>
      <c r="M263" s="1325" t="e">
        <f t="shared" ca="1" si="4"/>
        <v>#NAME?</v>
      </c>
      <c r="N263" s="486" t="s">
        <v>3043</v>
      </c>
      <c r="O263" s="1312"/>
      <c r="P263" s="1312"/>
    </row>
    <row r="264" spans="1:16" ht="15.75" customHeight="1">
      <c r="A264" s="1314">
        <v>44939.521427291664</v>
      </c>
      <c r="B264" s="1310" t="s">
        <v>3421</v>
      </c>
      <c r="C264" s="1310" t="s">
        <v>3422</v>
      </c>
      <c r="D264" s="1310" t="s">
        <v>3048</v>
      </c>
      <c r="E264" s="1310" t="s">
        <v>3042</v>
      </c>
      <c r="F264" s="1310" t="s">
        <v>3055</v>
      </c>
      <c r="G264" s="1326">
        <v>13</v>
      </c>
      <c r="H264" s="486" t="e">
        <f t="array" aca="1" ref="H264" ca="1">+_xludf.IFS(E264="100% Presencial",1, E264="20% Teletrabajo (4 días a la semana)",0.8,E264="40% Teletrabajo (3 días a la semana)",0.6,E264="60% Teletrabajo (2 días a la semana)",0.4,E264="80% Teletrabajo (1 día a la semana)",0.2,E264="100% Teletrabajo",0)</f>
        <v>#NAME?</v>
      </c>
      <c r="I264" s="486" t="e">
        <f t="array" aca="1" ref="I264" ca="1">+_xludf.IFS(F264="Vehículo - Uso individual","Auto",F264="Vehículo - Uso compartido","Auto",F264="Transporte público/bus de acercamiento","Bus",F264="Moto","Moto",F264="Bicicleta o caminando","Bicicleta",F264="Ninguno, pues realicé 100% teletrabajo","No aplica",F264="Moto eléctrica","Moto eléctrica",F264="Vehículo eléctrico - Uso Individual","Vehículo eléctrico",F264="Vehículo eléctrico - Uso Compartido","Vehículo eléctrico")</f>
        <v>#NAME?</v>
      </c>
      <c r="J264" s="486">
        <v>1</v>
      </c>
      <c r="K264" s="1324" t="e">
        <f t="shared" ca="1" si="3"/>
        <v>#NAME?</v>
      </c>
      <c r="L264" s="1325">
        <f ca="1">+IFERROR(VLOOKUP(I264,'Factores Emisión EDGE'!$K$267:$L$272,2,0),0)</f>
        <v>0</v>
      </c>
      <c r="M264" s="1325" t="e">
        <f t="shared" ca="1" si="4"/>
        <v>#NAME?</v>
      </c>
      <c r="N264" s="486" t="s">
        <v>3056</v>
      </c>
      <c r="O264" s="1312"/>
      <c r="P264" s="1312"/>
    </row>
    <row r="265" spans="1:16" ht="15.75" customHeight="1">
      <c r="A265" s="1314">
        <v>44931.675092395832</v>
      </c>
      <c r="B265" s="1310" t="s">
        <v>3423</v>
      </c>
      <c r="C265" s="1310" t="s">
        <v>3424</v>
      </c>
      <c r="D265" s="1310" t="s">
        <v>3048</v>
      </c>
      <c r="E265" s="1310" t="s">
        <v>885</v>
      </c>
      <c r="F265" s="1310" t="s">
        <v>1995</v>
      </c>
      <c r="G265" s="1326">
        <v>13</v>
      </c>
      <c r="H265" s="486" t="e">
        <f t="array" aca="1" ref="H265" ca="1">+_xludf.IFS(E265="100% Presencial",1, E265="20% Teletrabajo (4 días a la semana)",0.8,E265="40% Teletrabajo (3 días a la semana)",0.6,E265="60% Teletrabajo (2 días a la semana)",0.4,E265="80% Teletrabajo (1 día a la semana)",0.2,E265="100% Teletrabajo",0)</f>
        <v>#NAME?</v>
      </c>
      <c r="I265" s="486" t="e">
        <f t="array" aca="1" ref="I265" ca="1">+_xludf.IFS(F265="Vehículo - Uso individual","Auto",F265="Vehículo - Uso compartido","Auto",F265="Transporte público/bus de acercamiento","Bus",F265="Moto","Moto",F265="Bicicleta o caminando","Bicicleta",F265="Ninguno, pues realicé 100% teletrabajo","No aplica",F265="Moto eléctrica","Moto eléctrica",F265="Vehículo eléctrico - Uso Individual","Vehículo eléctrico",F265="Vehículo eléctrico - Uso Compartido","Vehículo eléctrico")</f>
        <v>#NAME?</v>
      </c>
      <c r="J265" s="486">
        <v>0.25</v>
      </c>
      <c r="K265" s="1324" t="e">
        <f t="shared" ca="1" si="3"/>
        <v>#NAME?</v>
      </c>
      <c r="L265" s="1325">
        <f ca="1">+IFERROR(VLOOKUP(I265,'Factores Emisión EDGE'!$K$267:$L$272,2,0),0)</f>
        <v>0</v>
      </c>
      <c r="M265" s="1325" t="e">
        <f t="shared" ca="1" si="4"/>
        <v>#NAME?</v>
      </c>
      <c r="N265" s="486" t="s">
        <v>3043</v>
      </c>
      <c r="O265" s="1312"/>
      <c r="P265" s="1312"/>
    </row>
    <row r="266" spans="1:16" ht="15.75" customHeight="1">
      <c r="A266" s="1314">
        <v>44932.43523560185</v>
      </c>
      <c r="B266" s="1310" t="s">
        <v>3425</v>
      </c>
      <c r="C266" s="1310" t="s">
        <v>3426</v>
      </c>
      <c r="D266" s="1310" t="s">
        <v>3048</v>
      </c>
      <c r="E266" s="1310" t="s">
        <v>3042</v>
      </c>
      <c r="F266" s="1310" t="s">
        <v>3055</v>
      </c>
      <c r="G266" s="1326">
        <v>13</v>
      </c>
      <c r="H266" s="486" t="e">
        <f t="array" aca="1" ref="H266" ca="1">+_xludf.IFS(E266="100% Presencial",1, E266="20% Teletrabajo (4 días a la semana)",0.8,E266="40% Teletrabajo (3 días a la semana)",0.6,E266="60% Teletrabajo (2 días a la semana)",0.4,E266="80% Teletrabajo (1 día a la semana)",0.2,E266="100% Teletrabajo",0)</f>
        <v>#NAME?</v>
      </c>
      <c r="I266" s="486" t="e">
        <f t="array" aca="1" ref="I266" ca="1">+_xludf.IFS(F266="Vehículo - Uso individual","Auto",F266="Vehículo - Uso compartido","Auto",F266="Transporte público/bus de acercamiento","Bus",F266="Moto","Moto",F266="Bicicleta o caminando","Bicicleta",F266="Ninguno, pues realicé 100% teletrabajo","No aplica",F266="Moto eléctrica","Moto eléctrica",F266="Vehículo eléctrico - Uso Individual","Vehículo eléctrico",F266="Vehículo eléctrico - Uso Compartido","Vehículo eléctrico")</f>
        <v>#NAME?</v>
      </c>
      <c r="J266" s="486">
        <v>1</v>
      </c>
      <c r="K266" s="1324" t="e">
        <f t="shared" ca="1" si="3"/>
        <v>#NAME?</v>
      </c>
      <c r="L266" s="1325">
        <f ca="1">+IFERROR(VLOOKUP(I266,'Factores Emisión EDGE'!$K$267:$L$272,2,0),0)</f>
        <v>0</v>
      </c>
      <c r="M266" s="1325" t="e">
        <f t="shared" ca="1" si="4"/>
        <v>#NAME?</v>
      </c>
      <c r="N266" s="486" t="s">
        <v>3056</v>
      </c>
      <c r="O266" s="1312"/>
      <c r="P266" s="1312"/>
    </row>
    <row r="267" spans="1:16" ht="15.75" customHeight="1">
      <c r="A267" s="1314">
        <v>44929.50990261574</v>
      </c>
      <c r="B267" s="1310" t="s">
        <v>3427</v>
      </c>
      <c r="C267" s="1310" t="s">
        <v>3428</v>
      </c>
      <c r="D267" s="1310" t="s">
        <v>3048</v>
      </c>
      <c r="E267" s="1310" t="s">
        <v>885</v>
      </c>
      <c r="F267" s="1310" t="s">
        <v>1952</v>
      </c>
      <c r="G267" s="1326">
        <v>13</v>
      </c>
      <c r="H267" s="486" t="e">
        <f t="array" aca="1" ref="H267" ca="1">+_xludf.IFS(E267="100% Presencial",1, E267="20% Teletrabajo (4 días a la semana)",0.8,E267="40% Teletrabajo (3 días a la semana)",0.6,E267="60% Teletrabajo (2 días a la semana)",0.4,E267="80% Teletrabajo (1 día a la semana)",0.2,E267="100% Teletrabajo",0)</f>
        <v>#NAME?</v>
      </c>
      <c r="I267" s="486" t="e">
        <f t="array" aca="1" ref="I267" ca="1">+_xludf.IFS(F267="Vehículo - Uso individual","Auto",F267="Vehículo - Uso compartido","Auto",F267="Transporte público/bus de acercamiento","Bus",F267="Moto","Moto",F267="Bicicleta o caminando","Bicicleta",F267="Ninguno, pues realicé 100% teletrabajo","No aplica",F267="Moto eléctrica","Moto eléctrica",F267="Vehículo eléctrico - Uso Individual","Vehículo eléctrico",F267="Vehículo eléctrico - Uso Compartido","Vehículo eléctrico")</f>
        <v>#NAME?</v>
      </c>
      <c r="J267" s="486">
        <v>1</v>
      </c>
      <c r="K267" s="1324" t="e">
        <f t="shared" ca="1" si="3"/>
        <v>#NAME?</v>
      </c>
      <c r="L267" s="1325">
        <f ca="1">+IFERROR(VLOOKUP(I267,'Factores Emisión EDGE'!$K$267:$L$272,2,0),0)</f>
        <v>0</v>
      </c>
      <c r="M267" s="1325" t="e">
        <f t="shared" ca="1" si="4"/>
        <v>#NAME?</v>
      </c>
      <c r="N267" s="486" t="s">
        <v>3043</v>
      </c>
      <c r="O267" s="1312"/>
      <c r="P267" s="1312"/>
    </row>
    <row r="268" spans="1:16" ht="15.75" customHeight="1">
      <c r="A268" s="1314">
        <v>44929.522183171299</v>
      </c>
      <c r="B268" s="1310" t="s">
        <v>3429</v>
      </c>
      <c r="C268" s="1310" t="s">
        <v>2125</v>
      </c>
      <c r="D268" s="1310" t="s">
        <v>3048</v>
      </c>
      <c r="E268" s="1310" t="s">
        <v>3042</v>
      </c>
      <c r="F268" s="1310" t="s">
        <v>3055</v>
      </c>
      <c r="G268" s="1326">
        <v>13</v>
      </c>
      <c r="H268" s="486" t="e">
        <f t="array" aca="1" ref="H268" ca="1">+_xludf.IFS(E268="100% Presencial",1, E268="20% Teletrabajo (4 días a la semana)",0.8,E268="40% Teletrabajo (3 días a la semana)",0.6,E268="60% Teletrabajo (2 días a la semana)",0.4,E268="80% Teletrabajo (1 día a la semana)",0.2,E268="100% Teletrabajo",0)</f>
        <v>#NAME?</v>
      </c>
      <c r="I268" s="486" t="e">
        <f t="array" aca="1" ref="I268" ca="1">+_xludf.IFS(F268="Vehículo - Uso individual","Auto",F268="Vehículo - Uso compartido","Auto",F268="Transporte público/bus de acercamiento","Bus",F268="Moto","Moto",F268="Bicicleta o caminando","Bicicleta",F268="Ninguno, pues realicé 100% teletrabajo","No aplica",F268="Moto eléctrica","Moto eléctrica",F268="Vehículo eléctrico - Uso Individual","Vehículo eléctrico",F268="Vehículo eléctrico - Uso Compartido","Vehículo eléctrico")</f>
        <v>#NAME?</v>
      </c>
      <c r="J268" s="486">
        <v>1</v>
      </c>
      <c r="K268" s="1324" t="e">
        <f t="shared" ca="1" si="3"/>
        <v>#NAME?</v>
      </c>
      <c r="L268" s="1325">
        <f ca="1">+IFERROR(VLOOKUP(I268,'Factores Emisión EDGE'!$K$267:$L$272,2,0),0)</f>
        <v>0</v>
      </c>
      <c r="M268" s="1325" t="e">
        <f t="shared" ca="1" si="4"/>
        <v>#NAME?</v>
      </c>
      <c r="N268" s="486" t="s">
        <v>3043</v>
      </c>
      <c r="O268" s="1312"/>
      <c r="P268" s="1312"/>
    </row>
    <row r="269" spans="1:16" ht="15.75" customHeight="1">
      <c r="A269" s="1314">
        <v>44938.544941354165</v>
      </c>
      <c r="B269" s="1310" t="s">
        <v>3430</v>
      </c>
      <c r="C269" s="1310" t="s">
        <v>3431</v>
      </c>
      <c r="D269" s="1310" t="s">
        <v>3048</v>
      </c>
      <c r="E269" s="1310" t="s">
        <v>3042</v>
      </c>
      <c r="F269" s="1310" t="s">
        <v>1952</v>
      </c>
      <c r="G269" s="1326">
        <v>13</v>
      </c>
      <c r="H269" s="486" t="e">
        <f t="array" aca="1" ref="H269" ca="1">+_xludf.IFS(E269="100% Presencial",1, E269="20% Teletrabajo (4 días a la semana)",0.8,E269="40% Teletrabajo (3 días a la semana)",0.6,E269="60% Teletrabajo (2 días a la semana)",0.4,E269="80% Teletrabajo (1 día a la semana)",0.2,E269="100% Teletrabajo",0)</f>
        <v>#NAME?</v>
      </c>
      <c r="I269" s="486" t="e">
        <f t="array" aca="1" ref="I269" ca="1">+_xludf.IFS(F269="Vehículo - Uso individual","Auto",F269="Vehículo - Uso compartido","Auto",F269="Transporte público/bus de acercamiento","Bus",F269="Moto","Moto",F269="Bicicleta o caminando","Bicicleta",F269="Ninguno, pues realicé 100% teletrabajo","No aplica",F269="Moto eléctrica","Moto eléctrica",F269="Vehículo eléctrico - Uso Individual","Vehículo eléctrico",F269="Vehículo eléctrico - Uso Compartido","Vehículo eléctrico")</f>
        <v>#NAME?</v>
      </c>
      <c r="J269" s="486">
        <v>1</v>
      </c>
      <c r="K269" s="1324" t="e">
        <f t="shared" ca="1" si="3"/>
        <v>#NAME?</v>
      </c>
      <c r="L269" s="1325">
        <f ca="1">+IFERROR(VLOOKUP(I269,'Factores Emisión EDGE'!$K$267:$L$272,2,0),0)</f>
        <v>0</v>
      </c>
      <c r="M269" s="1325" t="e">
        <f t="shared" ca="1" si="4"/>
        <v>#NAME?</v>
      </c>
      <c r="N269" s="486" t="s">
        <v>3056</v>
      </c>
      <c r="O269" s="1312"/>
      <c r="P269" s="1312"/>
    </row>
    <row r="270" spans="1:16" ht="15.75" customHeight="1">
      <c r="A270" s="1314">
        <v>44938.559836585649</v>
      </c>
      <c r="B270" s="1310" t="s">
        <v>3417</v>
      </c>
      <c r="C270" s="1310" t="s">
        <v>3418</v>
      </c>
      <c r="D270" s="1310" t="s">
        <v>3048</v>
      </c>
      <c r="E270" s="1310" t="s">
        <v>3042</v>
      </c>
      <c r="F270" s="1310" t="s">
        <v>1952</v>
      </c>
      <c r="G270" s="1326">
        <v>13</v>
      </c>
      <c r="H270" s="486" t="e">
        <f t="array" aca="1" ref="H270" ca="1">+_xludf.IFS(E270="100% Presencial",1, E270="20% Teletrabajo (4 días a la semana)",0.8,E270="40% Teletrabajo (3 días a la semana)",0.6,E270="60% Teletrabajo (2 días a la semana)",0.4,E270="80% Teletrabajo (1 día a la semana)",0.2,E270="100% Teletrabajo",0)</f>
        <v>#NAME?</v>
      </c>
      <c r="I270" s="486" t="e">
        <f t="array" aca="1" ref="I270" ca="1">+_xludf.IFS(F270="Vehículo - Uso individual","Auto",F270="Vehículo - Uso compartido","Auto",F270="Transporte público/bus de acercamiento","Bus",F270="Moto","Moto",F270="Bicicleta o caminando","Bicicleta",F270="Ninguno, pues realicé 100% teletrabajo","No aplica",F270="Moto eléctrica","Moto eléctrica",F270="Vehículo eléctrico - Uso Individual","Vehículo eléctrico",F270="Vehículo eléctrico - Uso Compartido","Vehículo eléctrico")</f>
        <v>#NAME?</v>
      </c>
      <c r="J270" s="486">
        <v>1</v>
      </c>
      <c r="K270" s="1324" t="e">
        <f t="shared" ca="1" si="3"/>
        <v>#NAME?</v>
      </c>
      <c r="L270" s="1325">
        <f ca="1">+IFERROR(VLOOKUP(I270,'Factores Emisión EDGE'!$K$267:$L$272,2,0),0)</f>
        <v>0</v>
      </c>
      <c r="M270" s="1325" t="e">
        <f t="shared" ca="1" si="4"/>
        <v>#NAME?</v>
      </c>
      <c r="N270" s="486" t="s">
        <v>3056</v>
      </c>
      <c r="O270" s="1312"/>
      <c r="P270" s="1312"/>
    </row>
    <row r="271" spans="1:16" ht="15.75" customHeight="1">
      <c r="A271" s="1314">
        <v>44938.625183645832</v>
      </c>
      <c r="B271" s="1310" t="s">
        <v>3432</v>
      </c>
      <c r="C271" s="1310" t="s">
        <v>3433</v>
      </c>
      <c r="D271" s="1310" t="s">
        <v>3048</v>
      </c>
      <c r="E271" s="1310" t="s">
        <v>881</v>
      </c>
      <c r="F271" s="1310" t="s">
        <v>1952</v>
      </c>
      <c r="G271" s="1326">
        <v>13</v>
      </c>
      <c r="H271" s="486" t="e">
        <f t="array" aca="1" ref="H271" ca="1">+_xludf.IFS(E271="100% Presencial",1, E271="20% Teletrabajo (4 días a la semana)",0.8,E271="40% Teletrabajo (3 días a la semana)",0.6,E271="60% Teletrabajo (2 días a la semana)",0.4,E271="80% Teletrabajo (1 día a la semana)",0.2,E271="100% Teletrabajo",0)</f>
        <v>#NAME?</v>
      </c>
      <c r="I271" s="486" t="e">
        <f t="array" aca="1" ref="I271" ca="1">+_xludf.IFS(F271="Vehículo - Uso individual","Auto",F271="Vehículo - Uso compartido","Auto",F271="Transporte público/bus de acercamiento","Bus",F271="Moto","Moto",F271="Bicicleta o caminando","Bicicleta",F271="Ninguno, pues realicé 100% teletrabajo","No aplica",F271="Moto eléctrica","Moto eléctrica",F271="Vehículo eléctrico - Uso Individual","Vehículo eléctrico",F271="Vehículo eléctrico - Uso Compartido","Vehículo eléctrico")</f>
        <v>#NAME?</v>
      </c>
      <c r="J271" s="486">
        <v>1</v>
      </c>
      <c r="K271" s="1324" t="e">
        <f t="shared" ca="1" si="3"/>
        <v>#NAME?</v>
      </c>
      <c r="L271" s="1325">
        <f ca="1">+IFERROR(VLOOKUP(I271,'Factores Emisión EDGE'!$K$267:$L$272,2,0),0)</f>
        <v>0</v>
      </c>
      <c r="M271" s="1325" t="e">
        <f t="shared" ca="1" si="4"/>
        <v>#NAME?</v>
      </c>
      <c r="N271" s="486" t="s">
        <v>3056</v>
      </c>
      <c r="O271" s="1312"/>
      <c r="P271" s="1312"/>
    </row>
    <row r="272" spans="1:16" ht="15.75" customHeight="1">
      <c r="A272" s="1314">
        <v>44939.394920416671</v>
      </c>
      <c r="B272" s="1310" t="s">
        <v>3434</v>
      </c>
      <c r="C272" s="1310" t="s">
        <v>3435</v>
      </c>
      <c r="D272" s="1310" t="s">
        <v>3048</v>
      </c>
      <c r="E272" s="1310" t="s">
        <v>3042</v>
      </c>
      <c r="F272" s="1310" t="s">
        <v>1952</v>
      </c>
      <c r="G272" s="1326">
        <v>13</v>
      </c>
      <c r="H272" s="486" t="e">
        <f t="array" aca="1" ref="H272" ca="1">+_xludf.IFS(E272="100% Presencial",1, E272="20% Teletrabajo (4 días a la semana)",0.8,E272="40% Teletrabajo (3 días a la semana)",0.6,E272="60% Teletrabajo (2 días a la semana)",0.4,E272="80% Teletrabajo (1 día a la semana)",0.2,E272="100% Teletrabajo",0)</f>
        <v>#NAME?</v>
      </c>
      <c r="I272" s="486" t="e">
        <f t="array" aca="1" ref="I272" ca="1">+_xludf.IFS(F272="Vehículo - Uso individual","Auto",F272="Vehículo - Uso compartido","Auto",F272="Transporte público/bus de acercamiento","Bus",F272="Moto","Moto",F272="Bicicleta o caminando","Bicicleta",F272="Ninguno, pues realicé 100% teletrabajo","No aplica",F272="Moto eléctrica","Moto eléctrica",F272="Vehículo eléctrico - Uso Individual","Vehículo eléctrico",F272="Vehículo eléctrico - Uso Compartido","Vehículo eléctrico")</f>
        <v>#NAME?</v>
      </c>
      <c r="J272" s="486">
        <v>1</v>
      </c>
      <c r="K272" s="1324" t="e">
        <f t="shared" ca="1" si="3"/>
        <v>#NAME?</v>
      </c>
      <c r="L272" s="1325">
        <f ca="1">+IFERROR(VLOOKUP(I272,'Factores Emisión EDGE'!$K$267:$L$272,2,0),0)</f>
        <v>0</v>
      </c>
      <c r="M272" s="1325" t="e">
        <f t="shared" ca="1" si="4"/>
        <v>#NAME?</v>
      </c>
      <c r="N272" s="486" t="s">
        <v>3043</v>
      </c>
      <c r="O272" s="1312"/>
      <c r="P272" s="1312"/>
    </row>
    <row r="273" spans="1:16" ht="15.75" customHeight="1">
      <c r="A273" s="1314">
        <v>44939.459994166667</v>
      </c>
      <c r="B273" s="1310" t="s">
        <v>3436</v>
      </c>
      <c r="C273" s="1310" t="s">
        <v>3437</v>
      </c>
      <c r="D273" s="1310" t="s">
        <v>3107</v>
      </c>
      <c r="E273" s="1310" t="s">
        <v>3049</v>
      </c>
      <c r="F273" s="1310" t="s">
        <v>3050</v>
      </c>
      <c r="G273" s="1326">
        <v>0.6</v>
      </c>
      <c r="H273" s="486" t="e">
        <f t="array" aca="1" ref="H273" ca="1">+_xludf.IFS(E273="100% Presencial",1, E273="20% Teletrabajo (4 días a la semana)",0.8,E273="40% Teletrabajo (3 días a la semana)",0.6,E273="60% Teletrabajo (2 días a la semana)",0.4,E273="80% Teletrabajo (1 día a la semana)",0.2,E273="100% Teletrabajo",0)</f>
        <v>#NAME?</v>
      </c>
      <c r="I273" s="486" t="e">
        <f t="array" aca="1" ref="I273" ca="1">+_xludf.IFS(F273="Vehículo - Uso individual","Auto",F273="Vehículo - Uso compartido","Auto",F273="Transporte público/bus de acercamiento","Bus",F273="Moto","Moto",F273="Bicicleta o caminando","Bicicleta",F273="Ninguno, pues realicé 100% teletrabajo","No aplica",F273="Moto eléctrica","Moto eléctrica",F273="Vehículo eléctrico - Uso Individual","Vehículo eléctrico",F273="Vehículo eléctrico - Uso Compartido","Vehículo eléctrico")</f>
        <v>#NAME?</v>
      </c>
      <c r="J273" s="486">
        <v>1</v>
      </c>
      <c r="K273" s="1324" t="e">
        <f t="shared" ca="1" si="3"/>
        <v>#NAME?</v>
      </c>
      <c r="L273" s="1325">
        <f ca="1">+IFERROR(VLOOKUP(I273,'Factores Emisión EDGE'!$K$267:$L$272,2,0),0)</f>
        <v>0</v>
      </c>
      <c r="M273" s="1325" t="e">
        <f t="shared" ca="1" si="4"/>
        <v>#NAME?</v>
      </c>
      <c r="N273" s="486" t="s">
        <v>3043</v>
      </c>
      <c r="O273" s="1312"/>
      <c r="P273" s="1312"/>
    </row>
    <row r="274" spans="1:16" ht="15.75" customHeight="1">
      <c r="A274" s="1314">
        <v>44939.404407465277</v>
      </c>
      <c r="B274" s="1310" t="s">
        <v>3429</v>
      </c>
      <c r="C274" s="1310" t="s">
        <v>2125</v>
      </c>
      <c r="D274" s="1310" t="s">
        <v>3048</v>
      </c>
      <c r="E274" s="1310" t="s">
        <v>3042</v>
      </c>
      <c r="F274" s="1310" t="s">
        <v>3055</v>
      </c>
      <c r="G274" s="1326">
        <v>13</v>
      </c>
      <c r="H274" s="486" t="e">
        <f t="array" aca="1" ref="H274" ca="1">+_xludf.IFS(E274="100% Presencial",1, E274="20% Teletrabajo (4 días a la semana)",0.8,E274="40% Teletrabajo (3 días a la semana)",0.6,E274="60% Teletrabajo (2 días a la semana)",0.4,E274="80% Teletrabajo (1 día a la semana)",0.2,E274="100% Teletrabajo",0)</f>
        <v>#NAME?</v>
      </c>
      <c r="I274" s="486" t="e">
        <f t="array" aca="1" ref="I274" ca="1">+_xludf.IFS(F274="Vehículo - Uso individual","Auto",F274="Vehículo - Uso compartido","Auto",F274="Transporte público/bus de acercamiento","Bus",F274="Moto","Moto",F274="Bicicleta o caminando","Bicicleta",F274="Ninguno, pues realicé 100% teletrabajo","No aplica",F274="Moto eléctrica","Moto eléctrica",F274="Vehículo eléctrico - Uso Individual","Vehículo eléctrico",F274="Vehículo eléctrico - Uso Compartido","Vehículo eléctrico")</f>
        <v>#NAME?</v>
      </c>
      <c r="J274" s="486">
        <v>1</v>
      </c>
      <c r="K274" s="1324" t="e">
        <f t="shared" ca="1" si="3"/>
        <v>#NAME?</v>
      </c>
      <c r="L274" s="1325">
        <f ca="1">+IFERROR(VLOOKUP(I274,'Factores Emisión EDGE'!$K$267:$L$272,2,0),0)</f>
        <v>0</v>
      </c>
      <c r="M274" s="1325" t="e">
        <f t="shared" ca="1" si="4"/>
        <v>#NAME?</v>
      </c>
      <c r="N274" s="486" t="s">
        <v>3043</v>
      </c>
      <c r="O274" s="1312"/>
      <c r="P274" s="1312"/>
    </row>
    <row r="275" spans="1:16" ht="15.75" customHeight="1">
      <c r="A275" s="1314">
        <v>44939.421258981485</v>
      </c>
      <c r="B275" s="1310" t="s">
        <v>3438</v>
      </c>
      <c r="C275" s="1310" t="s">
        <v>3439</v>
      </c>
      <c r="D275" s="1310" t="s">
        <v>3048</v>
      </c>
      <c r="E275" s="1310" t="s">
        <v>3066</v>
      </c>
      <c r="F275" s="1310" t="s">
        <v>3055</v>
      </c>
      <c r="G275" s="1326">
        <v>13</v>
      </c>
      <c r="H275" s="486" t="e">
        <f t="array" aca="1" ref="H275" ca="1">+_xludf.IFS(E275="100% Presencial",1, E275="20% Teletrabajo (4 días a la semana)",0.8,E275="40% Teletrabajo (3 días a la semana)",0.6,E275="60% Teletrabajo (2 días a la semana)",0.4,E275="80% Teletrabajo (1 día a la semana)",0.2,E275="100% Teletrabajo",0)</f>
        <v>#NAME?</v>
      </c>
      <c r="I275" s="486" t="e">
        <f t="array" aca="1" ref="I275" ca="1">+_xludf.IFS(F275="Vehículo - Uso individual","Auto",F275="Vehículo - Uso compartido","Auto",F275="Transporte público/bus de acercamiento","Bus",F275="Moto","Moto",F275="Bicicleta o caminando","Bicicleta",F275="Ninguno, pues realicé 100% teletrabajo","No aplica",F275="Moto eléctrica","Moto eléctrica",F275="Vehículo eléctrico - Uso Individual","Vehículo eléctrico",F275="Vehículo eléctrico - Uso Compartido","Vehículo eléctrico")</f>
        <v>#NAME?</v>
      </c>
      <c r="J275" s="486">
        <v>1</v>
      </c>
      <c r="K275" s="1324" t="e">
        <f t="shared" ca="1" si="3"/>
        <v>#NAME?</v>
      </c>
      <c r="L275" s="1325">
        <f ca="1">+IFERROR(VLOOKUP(I275,'Factores Emisión EDGE'!$K$267:$L$272,2,0),0)</f>
        <v>0</v>
      </c>
      <c r="M275" s="1325" t="e">
        <f t="shared" ca="1" si="4"/>
        <v>#NAME?</v>
      </c>
      <c r="N275" s="486" t="s">
        <v>3043</v>
      </c>
      <c r="O275" s="1312"/>
      <c r="P275" s="1312"/>
    </row>
    <row r="276" spans="1:16" ht="15.75" customHeight="1">
      <c r="A276" s="1314">
        <v>44930.460737303241</v>
      </c>
      <c r="B276" s="1310" t="s">
        <v>3440</v>
      </c>
      <c r="C276" s="1310" t="s">
        <v>3441</v>
      </c>
      <c r="D276" s="1310" t="s">
        <v>3048</v>
      </c>
      <c r="E276" s="1310" t="s">
        <v>3042</v>
      </c>
      <c r="F276" s="1310" t="s">
        <v>3055</v>
      </c>
      <c r="G276" s="1326">
        <v>12.3</v>
      </c>
      <c r="H276" s="486" t="e">
        <f t="array" aca="1" ref="H276" ca="1">+_xludf.IFS(E276="100% Presencial",1, E276="20% Teletrabajo (4 días a la semana)",0.8,E276="40% Teletrabajo (3 días a la semana)",0.6,E276="60% Teletrabajo (2 días a la semana)",0.4,E276="80% Teletrabajo (1 día a la semana)",0.2,E276="100% Teletrabajo",0)</f>
        <v>#NAME?</v>
      </c>
      <c r="I276" s="486" t="e">
        <f t="array" aca="1" ref="I276" ca="1">+_xludf.IFS(F276="Vehículo - Uso individual","Auto",F276="Vehículo - Uso compartido","Auto",F276="Transporte público/bus de acercamiento","Bus",F276="Moto","Moto",F276="Bicicleta o caminando","Bicicleta",F276="Ninguno, pues realicé 100% teletrabajo","No aplica",F276="Moto eléctrica","Moto eléctrica",F276="Vehículo eléctrico - Uso Individual","Vehículo eléctrico",F276="Vehículo eléctrico - Uso Compartido","Vehículo eléctrico")</f>
        <v>#NAME?</v>
      </c>
      <c r="J276" s="486">
        <v>1</v>
      </c>
      <c r="K276" s="1324" t="e">
        <f t="shared" ca="1" si="3"/>
        <v>#NAME?</v>
      </c>
      <c r="L276" s="1325">
        <f ca="1">+IFERROR(VLOOKUP(I276,'Factores Emisión EDGE'!$K$267:$L$272,2,0),0)</f>
        <v>0</v>
      </c>
      <c r="M276" s="1325" t="e">
        <f t="shared" ca="1" si="4"/>
        <v>#NAME?</v>
      </c>
      <c r="N276" s="486" t="s">
        <v>3056</v>
      </c>
      <c r="O276" s="1312"/>
      <c r="P276" s="1312"/>
    </row>
    <row r="277" spans="1:16" ht="15.75" customHeight="1">
      <c r="A277" s="1314">
        <v>44932.575747604162</v>
      </c>
      <c r="B277" s="1310" t="s">
        <v>3442</v>
      </c>
      <c r="C277" s="1310" t="s">
        <v>2466</v>
      </c>
      <c r="D277" s="1310" t="s">
        <v>3048</v>
      </c>
      <c r="E277" s="1310" t="s">
        <v>3066</v>
      </c>
      <c r="F277" s="1310" t="s">
        <v>1952</v>
      </c>
      <c r="G277" s="1326">
        <v>12</v>
      </c>
      <c r="H277" s="486" t="e">
        <f t="array" aca="1" ref="H277" ca="1">+_xludf.IFS(E277="100% Presencial",1, E277="20% Teletrabajo (4 días a la semana)",0.8,E277="40% Teletrabajo (3 días a la semana)",0.6,E277="60% Teletrabajo (2 días a la semana)",0.4,E277="80% Teletrabajo (1 día a la semana)",0.2,E277="100% Teletrabajo",0)</f>
        <v>#NAME?</v>
      </c>
      <c r="I277" s="486" t="e">
        <f t="array" aca="1" ref="I277" ca="1">+_xludf.IFS(F277="Vehículo - Uso individual","Auto",F277="Vehículo - Uso compartido","Auto",F277="Transporte público/bus de acercamiento","Bus",F277="Moto","Moto",F277="Bicicleta o caminando","Bicicleta",F277="Ninguno, pues realicé 100% teletrabajo","No aplica",F277="Moto eléctrica","Moto eléctrica",F277="Vehículo eléctrico - Uso Individual","Vehículo eléctrico",F277="Vehículo eléctrico - Uso Compartido","Vehículo eléctrico")</f>
        <v>#NAME?</v>
      </c>
      <c r="J277" s="486">
        <v>1</v>
      </c>
      <c r="K277" s="1324" t="e">
        <f t="shared" ca="1" si="3"/>
        <v>#NAME?</v>
      </c>
      <c r="L277" s="1325">
        <f ca="1">+IFERROR(VLOOKUP(I277,'Factores Emisión EDGE'!$K$267:$L$272,2,0),0)</f>
        <v>0</v>
      </c>
      <c r="M277" s="1325" t="e">
        <f t="shared" ca="1" si="4"/>
        <v>#NAME?</v>
      </c>
      <c r="N277" s="486" t="s">
        <v>3043</v>
      </c>
      <c r="O277" s="1312"/>
      <c r="P277" s="1312"/>
    </row>
    <row r="278" spans="1:16" ht="15.75" customHeight="1">
      <c r="A278" s="1314">
        <v>44938.374932465274</v>
      </c>
      <c r="B278" s="1310" t="s">
        <v>2261</v>
      </c>
      <c r="C278" s="1310" t="s">
        <v>2262</v>
      </c>
      <c r="D278" s="1310" t="s">
        <v>3048</v>
      </c>
      <c r="E278" s="1310" t="s">
        <v>3066</v>
      </c>
      <c r="F278" s="1310" t="s">
        <v>3055</v>
      </c>
      <c r="G278" s="1326">
        <v>12</v>
      </c>
      <c r="H278" s="486" t="e">
        <f t="array" aca="1" ref="H278" ca="1">+_xludf.IFS(E278="100% Presencial",1, E278="20% Teletrabajo (4 días a la semana)",0.8,E278="40% Teletrabajo (3 días a la semana)",0.6,E278="60% Teletrabajo (2 días a la semana)",0.4,E278="80% Teletrabajo (1 día a la semana)",0.2,E278="100% Teletrabajo",0)</f>
        <v>#NAME?</v>
      </c>
      <c r="I278" s="486" t="e">
        <f t="array" aca="1" ref="I278" ca="1">+_xludf.IFS(F278="Vehículo - Uso individual","Auto",F278="Vehículo - Uso compartido","Auto",F278="Transporte público/bus de acercamiento","Bus",F278="Moto","Moto",F278="Bicicleta o caminando","Bicicleta",F278="Ninguno, pues realicé 100% teletrabajo","No aplica",F278="Moto eléctrica","Moto eléctrica",F278="Vehículo eléctrico - Uso Individual","Vehículo eléctrico",F278="Vehículo eléctrico - Uso Compartido","Vehículo eléctrico")</f>
        <v>#NAME?</v>
      </c>
      <c r="J278" s="486">
        <v>1</v>
      </c>
      <c r="K278" s="1324" t="e">
        <f t="shared" ca="1" si="3"/>
        <v>#NAME?</v>
      </c>
      <c r="L278" s="1325">
        <f ca="1">+IFERROR(VLOOKUP(I278,'Factores Emisión EDGE'!$K$267:$L$272,2,0),0)</f>
        <v>0</v>
      </c>
      <c r="M278" s="1325" t="e">
        <f t="shared" ca="1" si="4"/>
        <v>#NAME?</v>
      </c>
      <c r="N278" s="486" t="s">
        <v>3043</v>
      </c>
      <c r="O278" s="1312"/>
      <c r="P278" s="1312"/>
    </row>
    <row r="279" spans="1:16" ht="15.75" customHeight="1">
      <c r="A279" s="1314">
        <v>44938.612458229167</v>
      </c>
      <c r="B279" s="1310" t="s">
        <v>3443</v>
      </c>
      <c r="C279" s="1310" t="s">
        <v>3444</v>
      </c>
      <c r="D279" s="1310" t="s">
        <v>3048</v>
      </c>
      <c r="E279" s="1310" t="s">
        <v>3042</v>
      </c>
      <c r="F279" s="1310" t="s">
        <v>1952</v>
      </c>
      <c r="G279" s="1326">
        <v>12</v>
      </c>
      <c r="H279" s="486" t="e">
        <f t="array" aca="1" ref="H279" ca="1">+_xludf.IFS(E279="100% Presencial",1, E279="20% Teletrabajo (4 días a la semana)",0.8,E279="40% Teletrabajo (3 días a la semana)",0.6,E279="60% Teletrabajo (2 días a la semana)",0.4,E279="80% Teletrabajo (1 día a la semana)",0.2,E279="100% Teletrabajo",0)</f>
        <v>#NAME?</v>
      </c>
      <c r="I279" s="486" t="e">
        <f t="array" aca="1" ref="I279" ca="1">+_xludf.IFS(F279="Vehículo - Uso individual","Auto",F279="Vehículo - Uso compartido","Auto",F279="Transporte público/bus de acercamiento","Bus",F279="Moto","Moto",F279="Bicicleta o caminando","Bicicleta",F279="Ninguno, pues realicé 100% teletrabajo","No aplica",F279="Moto eléctrica","Moto eléctrica",F279="Vehículo eléctrico - Uso Individual","Vehículo eléctrico",F279="Vehículo eléctrico - Uso Compartido","Vehículo eléctrico")</f>
        <v>#NAME?</v>
      </c>
      <c r="J279" s="486">
        <v>1</v>
      </c>
      <c r="K279" s="1324" t="e">
        <f t="shared" ca="1" si="3"/>
        <v>#NAME?</v>
      </c>
      <c r="L279" s="1325">
        <f ca="1">+IFERROR(VLOOKUP(I279,'Factores Emisión EDGE'!$K$267:$L$272,2,0),0)</f>
        <v>0</v>
      </c>
      <c r="M279" s="1325" t="e">
        <f t="shared" ca="1" si="4"/>
        <v>#NAME?</v>
      </c>
      <c r="N279" s="486" t="s">
        <v>3056</v>
      </c>
      <c r="O279" s="1312"/>
      <c r="P279" s="1312"/>
    </row>
    <row r="280" spans="1:16" ht="15.75" customHeight="1">
      <c r="A280" s="1314">
        <v>44939.648793842593</v>
      </c>
      <c r="B280" s="1310" t="s">
        <v>2485</v>
      </c>
      <c r="C280" s="1310" t="s">
        <v>2486</v>
      </c>
      <c r="D280" s="1310" t="s">
        <v>3048</v>
      </c>
      <c r="E280" s="1310" t="s">
        <v>885</v>
      </c>
      <c r="F280" s="1310" t="s">
        <v>1952</v>
      </c>
      <c r="G280" s="1326">
        <v>12</v>
      </c>
      <c r="H280" s="486" t="e">
        <f t="array" aca="1" ref="H280" ca="1">+_xludf.IFS(E280="100% Presencial",1, E280="20% Teletrabajo (4 días a la semana)",0.8,E280="40% Teletrabajo (3 días a la semana)",0.6,E280="60% Teletrabajo (2 días a la semana)",0.4,E280="80% Teletrabajo (1 día a la semana)",0.2,E280="100% Teletrabajo",0)</f>
        <v>#NAME?</v>
      </c>
      <c r="I280" s="486" t="e">
        <f t="array" aca="1" ref="I280" ca="1">+_xludf.IFS(F280="Vehículo - Uso individual","Auto",F280="Vehículo - Uso compartido","Auto",F280="Transporte público/bus de acercamiento","Bus",F280="Moto","Moto",F280="Bicicleta o caminando","Bicicleta",F280="Ninguno, pues realicé 100% teletrabajo","No aplica",F280="Moto eléctrica","Moto eléctrica",F280="Vehículo eléctrico - Uso Individual","Vehículo eléctrico",F280="Vehículo eléctrico - Uso Compartido","Vehículo eléctrico")</f>
        <v>#NAME?</v>
      </c>
      <c r="J280" s="486">
        <v>1</v>
      </c>
      <c r="K280" s="1324" t="e">
        <f t="shared" ca="1" si="3"/>
        <v>#NAME?</v>
      </c>
      <c r="L280" s="1325">
        <f ca="1">+IFERROR(VLOOKUP(I280,'Factores Emisión EDGE'!$K$267:$L$272,2,0),0)</f>
        <v>0</v>
      </c>
      <c r="M280" s="1325" t="e">
        <f t="shared" ca="1" si="4"/>
        <v>#NAME?</v>
      </c>
      <c r="N280" s="486" t="s">
        <v>3043</v>
      </c>
      <c r="O280" s="1312"/>
      <c r="P280" s="1312"/>
    </row>
    <row r="281" spans="1:16" ht="15.75" customHeight="1">
      <c r="A281" s="1314">
        <v>44938.643543564816</v>
      </c>
      <c r="B281" s="1310" t="s">
        <v>3445</v>
      </c>
      <c r="C281" s="1310" t="s">
        <v>3446</v>
      </c>
      <c r="D281" s="1310" t="s">
        <v>3048</v>
      </c>
      <c r="E281" s="1310" t="s">
        <v>3042</v>
      </c>
      <c r="F281" s="1310" t="s">
        <v>3055</v>
      </c>
      <c r="G281" s="1326">
        <v>12</v>
      </c>
      <c r="H281" s="486" t="e">
        <f t="array" aca="1" ref="H281" ca="1">+_xludf.IFS(E281="100% Presencial",1, E281="20% Teletrabajo (4 días a la semana)",0.8,E281="40% Teletrabajo (3 días a la semana)",0.6,E281="60% Teletrabajo (2 días a la semana)",0.4,E281="80% Teletrabajo (1 día a la semana)",0.2,E281="100% Teletrabajo",0)</f>
        <v>#NAME?</v>
      </c>
      <c r="I281" s="486" t="e">
        <f t="array" aca="1" ref="I281" ca="1">+_xludf.IFS(F281="Vehículo - Uso individual","Auto",F281="Vehículo - Uso compartido","Auto",F281="Transporte público/bus de acercamiento","Bus",F281="Moto","Moto",F281="Bicicleta o caminando","Bicicleta",F281="Ninguno, pues realicé 100% teletrabajo","No aplica",F281="Moto eléctrica","Moto eléctrica",F281="Vehículo eléctrico - Uso Individual","Vehículo eléctrico",F281="Vehículo eléctrico - Uso Compartido","Vehículo eléctrico")</f>
        <v>#NAME?</v>
      </c>
      <c r="J281" s="486">
        <v>1</v>
      </c>
      <c r="K281" s="1324" t="e">
        <f t="shared" ca="1" si="3"/>
        <v>#NAME?</v>
      </c>
      <c r="L281" s="1325">
        <f ca="1">+IFERROR(VLOOKUP(I281,'Factores Emisión EDGE'!$K$267:$L$272,2,0),0)</f>
        <v>0</v>
      </c>
      <c r="M281" s="1325" t="e">
        <f t="shared" ca="1" si="4"/>
        <v>#NAME?</v>
      </c>
      <c r="N281" s="486" t="s">
        <v>3056</v>
      </c>
      <c r="O281" s="1312"/>
      <c r="P281" s="1312"/>
    </row>
    <row r="282" spans="1:16" ht="15.75" customHeight="1">
      <c r="A282" s="1314">
        <v>44929.494012499999</v>
      </c>
      <c r="B282" s="1310" t="s">
        <v>2032</v>
      </c>
      <c r="C282" s="1310" t="s">
        <v>2033</v>
      </c>
      <c r="D282" s="1310" t="s">
        <v>3048</v>
      </c>
      <c r="E282" s="1310" t="s">
        <v>883</v>
      </c>
      <c r="F282" s="1310" t="s">
        <v>3055</v>
      </c>
      <c r="G282" s="1326">
        <v>12</v>
      </c>
      <c r="H282" s="486" t="e">
        <f t="array" aca="1" ref="H282" ca="1">+_xludf.IFS(E282="100% Presencial",1, E282="20% Teletrabajo (4 días a la semana)",0.8,E282="40% Teletrabajo (3 días a la semana)",0.6,E282="60% Teletrabajo (2 días a la semana)",0.4,E282="80% Teletrabajo (1 día a la semana)",0.2,E282="100% Teletrabajo",0)</f>
        <v>#NAME?</v>
      </c>
      <c r="I282" s="486" t="e">
        <f t="array" aca="1" ref="I282" ca="1">+_xludf.IFS(F282="Vehículo - Uso individual","Auto",F282="Vehículo - Uso compartido","Auto",F282="Transporte público/bus de acercamiento","Bus",F282="Moto","Moto",F282="Bicicleta o caminando","Bicicleta",F282="Ninguno, pues realicé 100% teletrabajo","No aplica",F282="Moto eléctrica","Moto eléctrica",F282="Vehículo eléctrico - Uso Individual","Vehículo eléctrico",F282="Vehículo eléctrico - Uso Compartido","Vehículo eléctrico")</f>
        <v>#NAME?</v>
      </c>
      <c r="J282" s="486">
        <v>1</v>
      </c>
      <c r="K282" s="1324" t="e">
        <f t="shared" ca="1" si="3"/>
        <v>#NAME?</v>
      </c>
      <c r="L282" s="1325">
        <f ca="1">+IFERROR(VLOOKUP(I282,'Factores Emisión EDGE'!$K$267:$L$272,2,0),0)</f>
        <v>0</v>
      </c>
      <c r="M282" s="1325" t="e">
        <f t="shared" ca="1" si="4"/>
        <v>#NAME?</v>
      </c>
      <c r="N282" s="486" t="s">
        <v>3043</v>
      </c>
      <c r="O282" s="1312"/>
      <c r="P282" s="1312"/>
    </row>
    <row r="283" spans="1:16" ht="15.75" customHeight="1">
      <c r="A283" s="1314">
        <v>44929.507580381949</v>
      </c>
      <c r="B283" s="1310" t="s">
        <v>2367</v>
      </c>
      <c r="C283" s="1310" t="s">
        <v>2368</v>
      </c>
      <c r="D283" s="1310" t="s">
        <v>3048</v>
      </c>
      <c r="E283" s="1310" t="s">
        <v>3066</v>
      </c>
      <c r="F283" s="1310" t="s">
        <v>3055</v>
      </c>
      <c r="G283" s="1326">
        <v>12</v>
      </c>
      <c r="H283" s="486" t="e">
        <f t="array" aca="1" ref="H283" ca="1">+_xludf.IFS(E283="100% Presencial",1, E283="20% Teletrabajo (4 días a la semana)",0.8,E283="40% Teletrabajo (3 días a la semana)",0.6,E283="60% Teletrabajo (2 días a la semana)",0.4,E283="80% Teletrabajo (1 día a la semana)",0.2,E283="100% Teletrabajo",0)</f>
        <v>#NAME?</v>
      </c>
      <c r="I283" s="486" t="e">
        <f t="array" aca="1" ref="I283" ca="1">+_xludf.IFS(F283="Vehículo - Uso individual","Auto",F283="Vehículo - Uso compartido","Auto",F283="Transporte público/bus de acercamiento","Bus",F283="Moto","Moto",F283="Bicicleta o caminando","Bicicleta",F283="Ninguno, pues realicé 100% teletrabajo","No aplica",F283="Moto eléctrica","Moto eléctrica",F283="Vehículo eléctrico - Uso Individual","Vehículo eléctrico",F283="Vehículo eléctrico - Uso Compartido","Vehículo eléctrico")</f>
        <v>#NAME?</v>
      </c>
      <c r="J283" s="486">
        <v>1</v>
      </c>
      <c r="K283" s="1324" t="e">
        <f t="shared" ca="1" si="3"/>
        <v>#NAME?</v>
      </c>
      <c r="L283" s="1325">
        <f ca="1">+IFERROR(VLOOKUP(I283,'Factores Emisión EDGE'!$K$267:$L$272,2,0),0)</f>
        <v>0</v>
      </c>
      <c r="M283" s="1325" t="e">
        <f t="shared" ca="1" si="4"/>
        <v>#NAME?</v>
      </c>
      <c r="N283" s="486" t="s">
        <v>3043</v>
      </c>
      <c r="O283" s="1312"/>
      <c r="P283" s="1312"/>
    </row>
    <row r="284" spans="1:16" ht="15.75" customHeight="1">
      <c r="A284" s="1314">
        <v>44929.533064814816</v>
      </c>
      <c r="B284" s="1310" t="s">
        <v>3447</v>
      </c>
      <c r="C284" s="1310" t="s">
        <v>3448</v>
      </c>
      <c r="D284" s="1310" t="s">
        <v>3133</v>
      </c>
      <c r="E284" s="1310" t="s">
        <v>3042</v>
      </c>
      <c r="F284" s="1310" t="s">
        <v>1952</v>
      </c>
      <c r="G284" s="1326">
        <v>12</v>
      </c>
      <c r="H284" s="486" t="e">
        <f t="array" aca="1" ref="H284" ca="1">+_xludf.IFS(E284="100% Presencial",1, E284="20% Teletrabajo (4 días a la semana)",0.8,E284="40% Teletrabajo (3 días a la semana)",0.6,E284="60% Teletrabajo (2 días a la semana)",0.4,E284="80% Teletrabajo (1 día a la semana)",0.2,E284="100% Teletrabajo",0)</f>
        <v>#NAME?</v>
      </c>
      <c r="I284" s="486" t="e">
        <f t="array" aca="1" ref="I284" ca="1">+_xludf.IFS(F284="Vehículo - Uso individual","Auto",F284="Vehículo - Uso compartido","Auto",F284="Transporte público/bus de acercamiento","Bus",F284="Moto","Moto",F284="Bicicleta o caminando","Bicicleta",F284="Ninguno, pues realicé 100% teletrabajo","No aplica",F284="Moto eléctrica","Moto eléctrica",F284="Vehículo eléctrico - Uso Individual","Vehículo eléctrico",F284="Vehículo eléctrico - Uso Compartido","Vehículo eléctrico")</f>
        <v>#NAME?</v>
      </c>
      <c r="J284" s="486">
        <v>1</v>
      </c>
      <c r="K284" s="1324" t="e">
        <f t="shared" ca="1" si="3"/>
        <v>#NAME?</v>
      </c>
      <c r="L284" s="1325">
        <f ca="1">+IFERROR(VLOOKUP(I284,'Factores Emisión EDGE'!$K$267:$L$272,2,0),0)</f>
        <v>0</v>
      </c>
      <c r="M284" s="1325" t="e">
        <f t="shared" ca="1" si="4"/>
        <v>#NAME?</v>
      </c>
      <c r="N284" s="486" t="s">
        <v>3043</v>
      </c>
      <c r="O284" s="1312"/>
      <c r="P284" s="1312"/>
    </row>
    <row r="285" spans="1:16" ht="15.75" customHeight="1">
      <c r="A285" s="1314">
        <v>44929.72080920139</v>
      </c>
      <c r="B285" s="1310" t="s">
        <v>3449</v>
      </c>
      <c r="C285" s="1310" t="s">
        <v>3450</v>
      </c>
      <c r="D285" s="1310" t="s">
        <v>3048</v>
      </c>
      <c r="E285" s="1310" t="s">
        <v>885</v>
      </c>
      <c r="F285" s="1310" t="s">
        <v>1995</v>
      </c>
      <c r="G285" s="1326">
        <v>12</v>
      </c>
      <c r="H285" s="486" t="e">
        <f t="array" aca="1" ref="H285" ca="1">+_xludf.IFS(E285="100% Presencial",1, E285="20% Teletrabajo (4 días a la semana)",0.8,E285="40% Teletrabajo (3 días a la semana)",0.6,E285="60% Teletrabajo (2 días a la semana)",0.4,E285="80% Teletrabajo (1 día a la semana)",0.2,E285="100% Teletrabajo",0)</f>
        <v>#NAME?</v>
      </c>
      <c r="I285" s="486" t="e">
        <f t="array" aca="1" ref="I285" ca="1">+_xludf.IFS(F285="Vehículo - Uso individual","Auto",F285="Vehículo - Uso compartido","Auto",F285="Transporte público/bus de acercamiento","Bus",F285="Moto","Moto",F285="Bicicleta o caminando","Bicicleta",F285="Ninguno, pues realicé 100% teletrabajo","No aplica",F285="Moto eléctrica","Moto eléctrica",F285="Vehículo eléctrico - Uso Individual","Vehículo eléctrico",F285="Vehículo eléctrico - Uso Compartido","Vehículo eléctrico")</f>
        <v>#NAME?</v>
      </c>
      <c r="J285" s="486">
        <v>0.25</v>
      </c>
      <c r="K285" s="1324" t="e">
        <f t="shared" ca="1" si="3"/>
        <v>#NAME?</v>
      </c>
      <c r="L285" s="1325">
        <f ca="1">+IFERROR(VLOOKUP(I285,'Factores Emisión EDGE'!$K$267:$L$272,2,0),0)</f>
        <v>0</v>
      </c>
      <c r="M285" s="1325" t="e">
        <f t="shared" ca="1" si="4"/>
        <v>#NAME?</v>
      </c>
      <c r="N285" s="486" t="s">
        <v>3043</v>
      </c>
      <c r="O285" s="1312"/>
      <c r="P285" s="1312"/>
    </row>
    <row r="286" spans="1:16" ht="15.75" customHeight="1">
      <c r="A286" s="1314">
        <v>44929.760024629628</v>
      </c>
      <c r="B286" s="1310" t="s">
        <v>3451</v>
      </c>
      <c r="C286" s="1310" t="s">
        <v>2078</v>
      </c>
      <c r="D286" s="1310" t="s">
        <v>3048</v>
      </c>
      <c r="E286" s="1310" t="s">
        <v>3042</v>
      </c>
      <c r="F286" s="1310" t="s">
        <v>863</v>
      </c>
      <c r="G286" s="1326">
        <v>12</v>
      </c>
      <c r="H286" s="486" t="e">
        <f t="array" aca="1" ref="H286" ca="1">+_xludf.IFS(E286="100% Presencial",1, E286="20% Teletrabajo (4 días a la semana)",0.8,E286="40% Teletrabajo (3 días a la semana)",0.6,E286="60% Teletrabajo (2 días a la semana)",0.4,E286="80% Teletrabajo (1 día a la semana)",0.2,E286="100% Teletrabajo",0)</f>
        <v>#NAME?</v>
      </c>
      <c r="I286" s="486" t="e">
        <f t="array" aca="1" ref="I286" ca="1">+_xludf.IFS(F286="Vehículo - Uso individual","Auto",F286="Vehículo - Uso compartido","Auto",F286="Transporte público/bus de acercamiento","Bus",F286="Moto","Moto",F286="Bicicleta o caminando","Bicicleta",F286="Ninguno, pues realicé 100% teletrabajo","No aplica",F286="Moto eléctrica","Moto eléctrica",F286="Vehículo eléctrico - Uso Individual","Vehículo eléctrico",F286="Vehículo eléctrico - Uso Compartido","Vehículo eléctrico")</f>
        <v>#NAME?</v>
      </c>
      <c r="J286" s="486">
        <v>1</v>
      </c>
      <c r="K286" s="1324" t="e">
        <f t="shared" ca="1" si="3"/>
        <v>#NAME?</v>
      </c>
      <c r="L286" s="1325">
        <f ca="1">+IFERROR(VLOOKUP(I286,'Factores Emisión EDGE'!$K$267:$L$272,2,0),0)</f>
        <v>0</v>
      </c>
      <c r="M286" s="1325" t="e">
        <f t="shared" ca="1" si="4"/>
        <v>#NAME?</v>
      </c>
      <c r="N286" s="486" t="s">
        <v>3043</v>
      </c>
      <c r="O286" s="1312"/>
      <c r="P286" s="1312"/>
    </row>
    <row r="287" spans="1:16" ht="15.75" customHeight="1">
      <c r="A287" s="1314">
        <v>44930.362016157407</v>
      </c>
      <c r="B287" s="1310" t="s">
        <v>3452</v>
      </c>
      <c r="C287" s="1310" t="s">
        <v>2957</v>
      </c>
      <c r="D287" s="1310" t="s">
        <v>3048</v>
      </c>
      <c r="E287" s="1310" t="s">
        <v>885</v>
      </c>
      <c r="F287" s="1310" t="s">
        <v>3055</v>
      </c>
      <c r="G287" s="1326">
        <v>12</v>
      </c>
      <c r="H287" s="486" t="e">
        <f t="array" aca="1" ref="H287" ca="1">+_xludf.IFS(E287="100% Presencial",1, E287="20% Teletrabajo (4 días a la semana)",0.8,E287="40% Teletrabajo (3 días a la semana)",0.6,E287="60% Teletrabajo (2 días a la semana)",0.4,E287="80% Teletrabajo (1 día a la semana)",0.2,E287="100% Teletrabajo",0)</f>
        <v>#NAME?</v>
      </c>
      <c r="I287" s="486" t="e">
        <f t="array" aca="1" ref="I287" ca="1">+_xludf.IFS(F287="Vehículo - Uso individual","Auto",F287="Vehículo - Uso compartido","Auto",F287="Transporte público/bus de acercamiento","Bus",F287="Moto","Moto",F287="Bicicleta o caminando","Bicicleta",F287="Ninguno, pues realicé 100% teletrabajo","No aplica",F287="Moto eléctrica","Moto eléctrica",F287="Vehículo eléctrico - Uso Individual","Vehículo eléctrico",F287="Vehículo eléctrico - Uso Compartido","Vehículo eléctrico")</f>
        <v>#NAME?</v>
      </c>
      <c r="J287" s="486">
        <v>1</v>
      </c>
      <c r="K287" s="1324" t="e">
        <f t="shared" ca="1" si="3"/>
        <v>#NAME?</v>
      </c>
      <c r="L287" s="1325">
        <f ca="1">+IFERROR(VLOOKUP(I287,'Factores Emisión EDGE'!$K$267:$L$272,2,0),0)</f>
        <v>0</v>
      </c>
      <c r="M287" s="1325" t="e">
        <f t="shared" ca="1" si="4"/>
        <v>#NAME?</v>
      </c>
      <c r="N287" s="486" t="s">
        <v>3043</v>
      </c>
      <c r="O287" s="1312"/>
      <c r="P287" s="1312"/>
    </row>
    <row r="288" spans="1:16" ht="15.75" customHeight="1">
      <c r="A288" s="1314">
        <v>44930.399611377317</v>
      </c>
      <c r="B288" s="1310" t="s">
        <v>2188</v>
      </c>
      <c r="C288" s="1310" t="s">
        <v>2189</v>
      </c>
      <c r="D288" s="1310" t="s">
        <v>3080</v>
      </c>
      <c r="E288" s="1310" t="s">
        <v>3042</v>
      </c>
      <c r="F288" s="1310" t="s">
        <v>1952</v>
      </c>
      <c r="G288" s="1326">
        <v>12</v>
      </c>
      <c r="H288" s="486" t="e">
        <f t="array" aca="1" ref="H288" ca="1">+_xludf.IFS(E288="100% Presencial",1, E288="20% Teletrabajo (4 días a la semana)",0.8,E288="40% Teletrabajo (3 días a la semana)",0.6,E288="60% Teletrabajo (2 días a la semana)",0.4,E288="80% Teletrabajo (1 día a la semana)",0.2,E288="100% Teletrabajo",0)</f>
        <v>#NAME?</v>
      </c>
      <c r="I288" s="486" t="e">
        <f t="array" aca="1" ref="I288" ca="1">+_xludf.IFS(F288="Vehículo - Uso individual","Auto",F288="Vehículo - Uso compartido","Auto",F288="Transporte público/bus de acercamiento","Bus",F288="Moto","Moto",F288="Bicicleta o caminando","Bicicleta",F288="Ninguno, pues realicé 100% teletrabajo","No aplica",F288="Moto eléctrica","Moto eléctrica",F288="Vehículo eléctrico - Uso Individual","Vehículo eléctrico",F288="Vehículo eléctrico - Uso Compartido","Vehículo eléctrico")</f>
        <v>#NAME?</v>
      </c>
      <c r="J288" s="486">
        <v>1</v>
      </c>
      <c r="K288" s="1324" t="e">
        <f t="shared" ca="1" si="3"/>
        <v>#NAME?</v>
      </c>
      <c r="L288" s="1325">
        <f ca="1">+IFERROR(VLOOKUP(I288,'Factores Emisión EDGE'!$K$267:$L$272,2,0),0)</f>
        <v>0</v>
      </c>
      <c r="M288" s="1325" t="e">
        <f t="shared" ca="1" si="4"/>
        <v>#NAME?</v>
      </c>
      <c r="N288" s="486" t="s">
        <v>3043</v>
      </c>
      <c r="O288" s="1312"/>
      <c r="P288" s="1312"/>
    </row>
    <row r="289" spans="1:16" ht="15.75" customHeight="1">
      <c r="A289" s="1314">
        <v>44930.568130451386</v>
      </c>
      <c r="B289" s="1310" t="s">
        <v>3453</v>
      </c>
      <c r="C289" s="1310" t="s">
        <v>3454</v>
      </c>
      <c r="D289" s="1310" t="s">
        <v>3048</v>
      </c>
      <c r="E289" s="1310" t="s">
        <v>3042</v>
      </c>
      <c r="F289" s="1310" t="s">
        <v>3455</v>
      </c>
      <c r="G289" s="1326">
        <v>12</v>
      </c>
      <c r="H289" s="486" t="e">
        <f t="array" aca="1" ref="H289" ca="1">+_xludf.IFS(E289="100% Presencial",1, E289="20% Teletrabajo (4 días a la semana)",0.8,E289="40% Teletrabajo (3 días a la semana)",0.6,E289="60% Teletrabajo (2 días a la semana)",0.4,E289="80% Teletrabajo (1 día a la semana)",0.2,E289="100% Teletrabajo",0)</f>
        <v>#NAME?</v>
      </c>
      <c r="I289" s="486" t="e">
        <f t="array" aca="1" ref="I289" ca="1">+_xludf.IFS(F289="Vehículo - Uso individual","Auto",F289="Vehículo - Uso compartido","Auto",F289="Transporte público/bus de acercamiento","Bus",F289="Moto","Moto",F289="Bicicleta o caminando","Bicicleta",F289="Ninguno, pues realicé 100% teletrabajo","No aplica",F289="Moto eléctrica","Moto eléctrica",F289="Vehículo eléctrico - Uso Individual","Vehículo eléctrico",F289="Vehículo eléctrico - Uso Compartido","Vehículo eléctrico")</f>
        <v>#NAME?</v>
      </c>
      <c r="J289" s="486">
        <v>0.25</v>
      </c>
      <c r="K289" s="1324" t="e">
        <f t="shared" ca="1" si="3"/>
        <v>#NAME?</v>
      </c>
      <c r="L289" s="1325">
        <f ca="1">+IFERROR(VLOOKUP(I289,'Factores Emisión EDGE'!$K$267:$L$272,2,0),0)</f>
        <v>0</v>
      </c>
      <c r="M289" s="1325" t="e">
        <f t="shared" ca="1" si="4"/>
        <v>#NAME?</v>
      </c>
      <c r="N289" s="486" t="s">
        <v>3056</v>
      </c>
      <c r="O289" s="1312"/>
      <c r="P289" s="1312"/>
    </row>
    <row r="290" spans="1:16" ht="15.75" customHeight="1">
      <c r="A290" s="1314">
        <v>44931.695142870369</v>
      </c>
      <c r="B290" s="1310" t="s">
        <v>3456</v>
      </c>
      <c r="C290" s="1310" t="s">
        <v>3457</v>
      </c>
      <c r="D290" s="1310" t="s">
        <v>3048</v>
      </c>
      <c r="E290" s="1310" t="s">
        <v>885</v>
      </c>
      <c r="F290" s="1310" t="s">
        <v>1952</v>
      </c>
      <c r="G290" s="1326">
        <v>12</v>
      </c>
      <c r="H290" s="486" t="e">
        <f t="array" aca="1" ref="H290" ca="1">+_xludf.IFS(E290="100% Presencial",1, E290="20% Teletrabajo (4 días a la semana)",0.8,E290="40% Teletrabajo (3 días a la semana)",0.6,E290="60% Teletrabajo (2 días a la semana)",0.4,E290="80% Teletrabajo (1 día a la semana)",0.2,E290="100% Teletrabajo",0)</f>
        <v>#NAME?</v>
      </c>
      <c r="I290" s="486" t="e">
        <f t="array" aca="1" ref="I290" ca="1">+_xludf.IFS(F290="Vehículo - Uso individual","Auto",F290="Vehículo - Uso compartido","Auto",F290="Transporte público/bus de acercamiento","Bus",F290="Moto","Moto",F290="Bicicleta o caminando","Bicicleta",F290="Ninguno, pues realicé 100% teletrabajo","No aplica",F290="Moto eléctrica","Moto eléctrica",F290="Vehículo eléctrico - Uso Individual","Vehículo eléctrico",F290="Vehículo eléctrico - Uso Compartido","Vehículo eléctrico")</f>
        <v>#NAME?</v>
      </c>
      <c r="J290" s="486">
        <v>1</v>
      </c>
      <c r="K290" s="1324" t="e">
        <f t="shared" ca="1" si="3"/>
        <v>#NAME?</v>
      </c>
      <c r="L290" s="1325">
        <f ca="1">+IFERROR(VLOOKUP(I290,'Factores Emisión EDGE'!$K$267:$L$272,2,0),0)</f>
        <v>0</v>
      </c>
      <c r="M290" s="1325" t="e">
        <f t="shared" ca="1" si="4"/>
        <v>#NAME?</v>
      </c>
      <c r="N290" s="486" t="s">
        <v>3043</v>
      </c>
      <c r="O290" s="1312"/>
      <c r="P290" s="1312"/>
    </row>
    <row r="291" spans="1:16" ht="15.75" customHeight="1">
      <c r="A291" s="1314">
        <v>44938.482735439815</v>
      </c>
      <c r="B291" s="1310" t="s">
        <v>3447</v>
      </c>
      <c r="C291" s="1310" t="s">
        <v>3448</v>
      </c>
      <c r="D291" s="1310" t="s">
        <v>3133</v>
      </c>
      <c r="E291" s="1310" t="s">
        <v>3042</v>
      </c>
      <c r="F291" s="1310" t="s">
        <v>1952</v>
      </c>
      <c r="G291" s="1326">
        <v>12</v>
      </c>
      <c r="H291" s="486" t="e">
        <f t="array" aca="1" ref="H291" ca="1">+_xludf.IFS(E291="100% Presencial",1, E291="20% Teletrabajo (4 días a la semana)",0.8,E291="40% Teletrabajo (3 días a la semana)",0.6,E291="60% Teletrabajo (2 días a la semana)",0.4,E291="80% Teletrabajo (1 día a la semana)",0.2,E291="100% Teletrabajo",0)</f>
        <v>#NAME?</v>
      </c>
      <c r="I291" s="486" t="e">
        <f t="array" aca="1" ref="I291" ca="1">+_xludf.IFS(F291="Vehículo - Uso individual","Auto",F291="Vehículo - Uso compartido","Auto",F291="Transporte público/bus de acercamiento","Bus",F291="Moto","Moto",F291="Bicicleta o caminando","Bicicleta",F291="Ninguno, pues realicé 100% teletrabajo","No aplica",F291="Moto eléctrica","Moto eléctrica",F291="Vehículo eléctrico - Uso Individual","Vehículo eléctrico",F291="Vehículo eléctrico - Uso Compartido","Vehículo eléctrico")</f>
        <v>#NAME?</v>
      </c>
      <c r="J291" s="486">
        <v>1</v>
      </c>
      <c r="K291" s="1324" t="e">
        <f t="shared" ca="1" si="3"/>
        <v>#NAME?</v>
      </c>
      <c r="L291" s="1325">
        <f ca="1">+IFERROR(VLOOKUP(I291,'Factores Emisión EDGE'!$K$267:$L$272,2,0),0)</f>
        <v>0</v>
      </c>
      <c r="M291" s="1325" t="e">
        <f t="shared" ca="1" si="4"/>
        <v>#NAME?</v>
      </c>
      <c r="N291" s="486" t="s">
        <v>3043</v>
      </c>
      <c r="O291" s="1312"/>
      <c r="P291" s="1312"/>
    </row>
    <row r="292" spans="1:16" ht="15.75" customHeight="1">
      <c r="A292" s="1314">
        <v>44938.66407856482</v>
      </c>
      <c r="B292" s="1310" t="s">
        <v>3458</v>
      </c>
      <c r="C292" s="1310" t="s">
        <v>3459</v>
      </c>
      <c r="D292" s="1310" t="s">
        <v>3048</v>
      </c>
      <c r="E292" s="1310" t="s">
        <v>3042</v>
      </c>
      <c r="F292" s="1310" t="s">
        <v>1952</v>
      </c>
      <c r="G292" s="1326">
        <v>12</v>
      </c>
      <c r="H292" s="486" t="e">
        <f t="array" aca="1" ref="H292" ca="1">+_xludf.IFS(E292="100% Presencial",1, E292="20% Teletrabajo (4 días a la semana)",0.8,E292="40% Teletrabajo (3 días a la semana)",0.6,E292="60% Teletrabajo (2 días a la semana)",0.4,E292="80% Teletrabajo (1 día a la semana)",0.2,E292="100% Teletrabajo",0)</f>
        <v>#NAME?</v>
      </c>
      <c r="I292" s="486" t="e">
        <f t="array" aca="1" ref="I292" ca="1">+_xludf.IFS(F292="Vehículo - Uso individual","Auto",F292="Vehículo - Uso compartido","Auto",F292="Transporte público/bus de acercamiento","Bus",F292="Moto","Moto",F292="Bicicleta o caminando","Bicicleta",F292="Ninguno, pues realicé 100% teletrabajo","No aplica",F292="Moto eléctrica","Moto eléctrica",F292="Vehículo eléctrico - Uso Individual","Vehículo eléctrico",F292="Vehículo eléctrico - Uso Compartido","Vehículo eléctrico")</f>
        <v>#NAME?</v>
      </c>
      <c r="J292" s="486">
        <v>1</v>
      </c>
      <c r="K292" s="1324" t="e">
        <f t="shared" ca="1" si="3"/>
        <v>#NAME?</v>
      </c>
      <c r="L292" s="1325">
        <f ca="1">+IFERROR(VLOOKUP(I292,'Factores Emisión EDGE'!$K$267:$L$272,2,0),0)</f>
        <v>0</v>
      </c>
      <c r="M292" s="1325" t="e">
        <f t="shared" ca="1" si="4"/>
        <v>#NAME?</v>
      </c>
      <c r="N292" s="486" t="s">
        <v>3056</v>
      </c>
      <c r="O292" s="1312"/>
      <c r="P292" s="1312"/>
    </row>
    <row r="293" spans="1:16" ht="15.75" customHeight="1">
      <c r="A293" s="1314">
        <v>44939.380058726849</v>
      </c>
      <c r="B293" s="1310" t="s">
        <v>3460</v>
      </c>
      <c r="C293" s="1310" t="s">
        <v>3461</v>
      </c>
      <c r="D293" s="1310" t="s">
        <v>3048</v>
      </c>
      <c r="E293" s="1310" t="s">
        <v>3049</v>
      </c>
      <c r="F293" s="1310" t="s">
        <v>1952</v>
      </c>
      <c r="G293" s="1326">
        <v>12</v>
      </c>
      <c r="H293" s="486" t="e">
        <f t="array" aca="1" ref="H293" ca="1">+_xludf.IFS(E293="100% Presencial",1, E293="20% Teletrabajo (4 días a la semana)",0.8,E293="40% Teletrabajo (3 días a la semana)",0.6,E293="60% Teletrabajo (2 días a la semana)",0.4,E293="80% Teletrabajo (1 día a la semana)",0.2,E293="100% Teletrabajo",0)</f>
        <v>#NAME?</v>
      </c>
      <c r="I293" s="486" t="e">
        <f t="array" aca="1" ref="I293" ca="1">+_xludf.IFS(F293="Vehículo - Uso individual","Auto",F293="Vehículo - Uso compartido","Auto",F293="Transporte público/bus de acercamiento","Bus",F293="Moto","Moto",F293="Bicicleta o caminando","Bicicleta",F293="Ninguno, pues realicé 100% teletrabajo","No aplica",F293="Moto eléctrica","Moto eléctrica",F293="Vehículo eléctrico - Uso Individual","Vehículo eléctrico",F293="Vehículo eléctrico - Uso Compartido","Vehículo eléctrico")</f>
        <v>#NAME?</v>
      </c>
      <c r="J293" s="486">
        <v>1</v>
      </c>
      <c r="K293" s="1324" t="e">
        <f t="shared" ca="1" si="3"/>
        <v>#NAME?</v>
      </c>
      <c r="L293" s="1325">
        <f ca="1">+IFERROR(VLOOKUP(I293,'Factores Emisión EDGE'!$K$267:$L$272,2,0),0)</f>
        <v>0</v>
      </c>
      <c r="M293" s="1325" t="e">
        <f t="shared" ca="1" si="4"/>
        <v>#NAME?</v>
      </c>
      <c r="N293" s="486" t="s">
        <v>3043</v>
      </c>
      <c r="O293" s="1312"/>
      <c r="P293" s="1312"/>
    </row>
    <row r="294" spans="1:16" ht="15.75" customHeight="1">
      <c r="A294" s="1314">
        <v>44939.380305011575</v>
      </c>
      <c r="B294" s="1310" t="s">
        <v>3447</v>
      </c>
      <c r="C294" s="1310" t="s">
        <v>3448</v>
      </c>
      <c r="D294" s="1310" t="s">
        <v>3133</v>
      </c>
      <c r="E294" s="1310" t="s">
        <v>3042</v>
      </c>
      <c r="F294" s="1310" t="s">
        <v>1952</v>
      </c>
      <c r="G294" s="1326">
        <v>12</v>
      </c>
      <c r="H294" s="486" t="e">
        <f t="array" aca="1" ref="H294" ca="1">+_xludf.IFS(E294="100% Presencial",1, E294="20% Teletrabajo (4 días a la semana)",0.8,E294="40% Teletrabajo (3 días a la semana)",0.6,E294="60% Teletrabajo (2 días a la semana)",0.4,E294="80% Teletrabajo (1 día a la semana)",0.2,E294="100% Teletrabajo",0)</f>
        <v>#NAME?</v>
      </c>
      <c r="I294" s="486" t="e">
        <f t="array" aca="1" ref="I294" ca="1">+_xludf.IFS(F294="Vehículo - Uso individual","Auto",F294="Vehículo - Uso compartido","Auto",F294="Transporte público/bus de acercamiento","Bus",F294="Moto","Moto",F294="Bicicleta o caminando","Bicicleta",F294="Ninguno, pues realicé 100% teletrabajo","No aplica",F294="Moto eléctrica","Moto eléctrica",F294="Vehículo eléctrico - Uso Individual","Vehículo eléctrico",F294="Vehículo eléctrico - Uso Compartido","Vehículo eléctrico")</f>
        <v>#NAME?</v>
      </c>
      <c r="J294" s="486">
        <v>1</v>
      </c>
      <c r="K294" s="1324" t="e">
        <f t="shared" ca="1" si="3"/>
        <v>#NAME?</v>
      </c>
      <c r="L294" s="1325">
        <f ca="1">+IFERROR(VLOOKUP(I294,'Factores Emisión EDGE'!$K$267:$L$272,2,0),0)</f>
        <v>0</v>
      </c>
      <c r="M294" s="1325" t="e">
        <f t="shared" ca="1" si="4"/>
        <v>#NAME?</v>
      </c>
      <c r="N294" s="486" t="s">
        <v>3043</v>
      </c>
      <c r="O294" s="1312"/>
      <c r="P294" s="1312"/>
    </row>
    <row r="295" spans="1:16" ht="15.75" customHeight="1">
      <c r="A295" s="1314">
        <v>44939.391888240745</v>
      </c>
      <c r="B295" s="1310" t="s">
        <v>3356</v>
      </c>
      <c r="C295" s="1310" t="s">
        <v>2131</v>
      </c>
      <c r="D295" s="1310" t="s">
        <v>3048</v>
      </c>
      <c r="E295" s="1310" t="s">
        <v>885</v>
      </c>
      <c r="F295" s="1310" t="s">
        <v>1952</v>
      </c>
      <c r="G295" s="1326">
        <v>12</v>
      </c>
      <c r="H295" s="486" t="e">
        <f t="array" aca="1" ref="H295" ca="1">+_xludf.IFS(E295="100% Presencial",1, E295="20% Teletrabajo (4 días a la semana)",0.8,E295="40% Teletrabajo (3 días a la semana)",0.6,E295="60% Teletrabajo (2 días a la semana)",0.4,E295="80% Teletrabajo (1 día a la semana)",0.2,E295="100% Teletrabajo",0)</f>
        <v>#NAME?</v>
      </c>
      <c r="I295" s="486" t="e">
        <f t="array" aca="1" ref="I295" ca="1">+_xludf.IFS(F295="Vehículo - Uso individual","Auto",F295="Vehículo - Uso compartido","Auto",F295="Transporte público/bus de acercamiento","Bus",F295="Moto","Moto",F295="Bicicleta o caminando","Bicicleta",F295="Ninguno, pues realicé 100% teletrabajo","No aplica",F295="Moto eléctrica","Moto eléctrica",F295="Vehículo eléctrico - Uso Individual","Vehículo eléctrico",F295="Vehículo eléctrico - Uso Compartido","Vehículo eléctrico")</f>
        <v>#NAME?</v>
      </c>
      <c r="J295" s="486">
        <v>1</v>
      </c>
      <c r="K295" s="1324" t="e">
        <f t="shared" ca="1" si="3"/>
        <v>#NAME?</v>
      </c>
      <c r="L295" s="1325">
        <f ca="1">+IFERROR(VLOOKUP(I295,'Factores Emisión EDGE'!$K$267:$L$272,2,0),0)</f>
        <v>0</v>
      </c>
      <c r="M295" s="1325" t="e">
        <f t="shared" ca="1" si="4"/>
        <v>#NAME?</v>
      </c>
      <c r="N295" s="486" t="s">
        <v>3043</v>
      </c>
      <c r="O295" s="1312"/>
      <c r="P295" s="1312"/>
    </row>
    <row r="296" spans="1:16" ht="15.75" customHeight="1">
      <c r="A296" s="1314">
        <v>44939.440701481479</v>
      </c>
      <c r="B296" s="1310" t="s">
        <v>3462</v>
      </c>
      <c r="C296" s="1310" t="s">
        <v>3463</v>
      </c>
      <c r="D296" s="1310" t="s">
        <v>3060</v>
      </c>
      <c r="E296" s="1310" t="s">
        <v>3042</v>
      </c>
      <c r="F296" s="1310" t="s">
        <v>3202</v>
      </c>
      <c r="G296" s="1326">
        <v>12</v>
      </c>
      <c r="H296" s="486" t="e">
        <f t="array" aca="1" ref="H296" ca="1">+_xludf.IFS(E296="100% Presencial",1, E296="20% Teletrabajo (4 días a la semana)",0.8,E296="40% Teletrabajo (3 días a la semana)",0.6,E296="60% Teletrabajo (2 días a la semana)",0.4,E296="80% Teletrabajo (1 día a la semana)",0.2,E296="100% Teletrabajo",0)</f>
        <v>#NAME?</v>
      </c>
      <c r="I296" s="486" t="e">
        <f t="array" aca="1" ref="I296" ca="1">+_xludf.IFS(F296="Vehículo - Uso individual","Auto",F296="Vehículo - Uso compartido","Auto",F296="Transporte público/bus de acercamiento","Bus",F296="Moto","Moto",F296="Bicicleta o caminando","Bicicleta",F296="Ninguno, pues realicé 100% teletrabajo","No aplica",F296="Moto eléctrica","Moto eléctrica",F296="Vehículo eléctrico - Uso Individual","Vehículo eléctrico",F296="Vehículo eléctrico - Uso Compartido","Vehículo eléctrico")</f>
        <v>#NAME?</v>
      </c>
      <c r="J296" s="486">
        <v>1</v>
      </c>
      <c r="K296" s="1324" t="e">
        <f t="shared" ca="1" si="3"/>
        <v>#NAME?</v>
      </c>
      <c r="L296" s="1325">
        <f ca="1">+IFERROR(VLOOKUP(I296,'Factores Emisión EDGE'!$K$267:$L$272,2,0),0)</f>
        <v>0</v>
      </c>
      <c r="M296" s="1325" t="e">
        <f t="shared" ca="1" si="4"/>
        <v>#NAME?</v>
      </c>
      <c r="N296" s="486" t="s">
        <v>3043</v>
      </c>
      <c r="O296" s="1312"/>
      <c r="P296" s="1312"/>
    </row>
    <row r="297" spans="1:16" ht="15.75" customHeight="1">
      <c r="A297" s="1314">
        <v>44939.577452650468</v>
      </c>
      <c r="B297" s="1310" t="s">
        <v>3464</v>
      </c>
      <c r="C297" s="1310" t="s">
        <v>3465</v>
      </c>
      <c r="D297" s="1310" t="s">
        <v>3083</v>
      </c>
      <c r="E297" s="1310" t="s">
        <v>3042</v>
      </c>
      <c r="F297" s="1310" t="s">
        <v>863</v>
      </c>
      <c r="G297" s="1326">
        <v>12</v>
      </c>
      <c r="H297" s="486" t="e">
        <f t="array" aca="1" ref="H297" ca="1">+_xludf.IFS(E297="100% Presencial",1, E297="20% Teletrabajo (4 días a la semana)",0.8,E297="40% Teletrabajo (3 días a la semana)",0.6,E297="60% Teletrabajo (2 días a la semana)",0.4,E297="80% Teletrabajo (1 día a la semana)",0.2,E297="100% Teletrabajo",0)</f>
        <v>#NAME?</v>
      </c>
      <c r="I297" s="486" t="e">
        <f t="array" aca="1" ref="I297" ca="1">+_xludf.IFS(F297="Vehículo - Uso individual","Auto",F297="Vehículo - Uso compartido","Auto",F297="Transporte público/bus de acercamiento","Bus",F297="Moto","Moto",F297="Bicicleta o caminando","Bicicleta",F297="Ninguno, pues realicé 100% teletrabajo","No aplica",F297="Moto eléctrica","Moto eléctrica",F297="Vehículo eléctrico - Uso Individual","Vehículo eléctrico",F297="Vehículo eléctrico - Uso Compartido","Vehículo eléctrico")</f>
        <v>#NAME?</v>
      </c>
      <c r="J297" s="486">
        <v>1</v>
      </c>
      <c r="K297" s="1324" t="e">
        <f t="shared" ca="1" si="3"/>
        <v>#NAME?</v>
      </c>
      <c r="L297" s="1325">
        <f ca="1">+IFERROR(VLOOKUP(I297,'Factores Emisión EDGE'!$K$267:$L$272,2,0),0)</f>
        <v>0</v>
      </c>
      <c r="M297" s="1325" t="e">
        <f t="shared" ca="1" si="4"/>
        <v>#NAME?</v>
      </c>
      <c r="N297" s="486" t="s">
        <v>3043</v>
      </c>
      <c r="O297" s="1312"/>
      <c r="P297" s="1312"/>
    </row>
    <row r="298" spans="1:16" ht="15.75" customHeight="1">
      <c r="A298" s="1314">
        <v>44939.580647557872</v>
      </c>
      <c r="B298" s="1310" t="s">
        <v>3466</v>
      </c>
      <c r="C298" s="1310" t="s">
        <v>2824</v>
      </c>
      <c r="D298" s="1310" t="s">
        <v>3048</v>
      </c>
      <c r="E298" s="1310" t="s">
        <v>3042</v>
      </c>
      <c r="F298" s="1310" t="s">
        <v>1952</v>
      </c>
      <c r="G298" s="1326">
        <v>12</v>
      </c>
      <c r="H298" s="486" t="e">
        <f t="array" aca="1" ref="H298" ca="1">+_xludf.IFS(E298="100% Presencial",1, E298="20% Teletrabajo (4 días a la semana)",0.8,E298="40% Teletrabajo (3 días a la semana)",0.6,E298="60% Teletrabajo (2 días a la semana)",0.4,E298="80% Teletrabajo (1 día a la semana)",0.2,E298="100% Teletrabajo",0)</f>
        <v>#NAME?</v>
      </c>
      <c r="I298" s="486" t="e">
        <f t="array" aca="1" ref="I298" ca="1">+_xludf.IFS(F298="Vehículo - Uso individual","Auto",F298="Vehículo - Uso compartido","Auto",F298="Transporte público/bus de acercamiento","Bus",F298="Moto","Moto",F298="Bicicleta o caminando","Bicicleta",F298="Ninguno, pues realicé 100% teletrabajo","No aplica",F298="Moto eléctrica","Moto eléctrica",F298="Vehículo eléctrico - Uso Individual","Vehículo eléctrico",F298="Vehículo eléctrico - Uso Compartido","Vehículo eléctrico")</f>
        <v>#NAME?</v>
      </c>
      <c r="J298" s="486">
        <v>1</v>
      </c>
      <c r="K298" s="1324" t="e">
        <f t="shared" ca="1" si="3"/>
        <v>#NAME?</v>
      </c>
      <c r="L298" s="1325">
        <f ca="1">+IFERROR(VLOOKUP(I298,'Factores Emisión EDGE'!$K$267:$L$272,2,0),0)</f>
        <v>0</v>
      </c>
      <c r="M298" s="1325" t="e">
        <f t="shared" ca="1" si="4"/>
        <v>#NAME?</v>
      </c>
      <c r="N298" s="486" t="s">
        <v>3043</v>
      </c>
      <c r="O298" s="1312"/>
      <c r="P298" s="1312"/>
    </row>
    <row r="299" spans="1:16" ht="15.75" customHeight="1">
      <c r="A299" s="1314">
        <v>44939.666832789357</v>
      </c>
      <c r="B299" s="1310" t="s">
        <v>3467</v>
      </c>
      <c r="C299" s="1310" t="s">
        <v>3468</v>
      </c>
      <c r="D299" s="1310" t="s">
        <v>3048</v>
      </c>
      <c r="E299" s="1310" t="s">
        <v>883</v>
      </c>
      <c r="F299" s="1310" t="s">
        <v>1952</v>
      </c>
      <c r="G299" s="1326">
        <v>12</v>
      </c>
      <c r="H299" s="486" t="e">
        <f t="array" aca="1" ref="H299" ca="1">+_xludf.IFS(E299="100% Presencial",1, E299="20% Teletrabajo (4 días a la semana)",0.8,E299="40% Teletrabajo (3 días a la semana)",0.6,E299="60% Teletrabajo (2 días a la semana)",0.4,E299="80% Teletrabajo (1 día a la semana)",0.2,E299="100% Teletrabajo",0)</f>
        <v>#NAME?</v>
      </c>
      <c r="I299" s="486" t="e">
        <f t="array" aca="1" ref="I299" ca="1">+_xludf.IFS(F299="Vehículo - Uso individual","Auto",F299="Vehículo - Uso compartido","Auto",F299="Transporte público/bus de acercamiento","Bus",F299="Moto","Moto",F299="Bicicleta o caminando","Bicicleta",F299="Ninguno, pues realicé 100% teletrabajo","No aplica",F299="Moto eléctrica","Moto eléctrica",F299="Vehículo eléctrico - Uso Individual","Vehículo eléctrico",F299="Vehículo eléctrico - Uso Compartido","Vehículo eléctrico")</f>
        <v>#NAME?</v>
      </c>
      <c r="J299" s="486">
        <v>1</v>
      </c>
      <c r="K299" s="1324" t="e">
        <f t="shared" ca="1" si="3"/>
        <v>#NAME?</v>
      </c>
      <c r="L299" s="1325">
        <f ca="1">+IFERROR(VLOOKUP(I299,'Factores Emisión EDGE'!$K$267:$L$272,2,0),0)</f>
        <v>0</v>
      </c>
      <c r="M299" s="1325" t="e">
        <f t="shared" ca="1" si="4"/>
        <v>#NAME?</v>
      </c>
      <c r="N299" s="486" t="s">
        <v>3043</v>
      </c>
      <c r="O299" s="1312"/>
      <c r="P299" s="1312"/>
    </row>
    <row r="300" spans="1:16" ht="15.75" customHeight="1">
      <c r="A300" s="1314">
        <v>44929.483133807866</v>
      </c>
      <c r="B300" s="1310" t="s">
        <v>3469</v>
      </c>
      <c r="C300" s="1310" t="s">
        <v>3470</v>
      </c>
      <c r="D300" s="1310" t="s">
        <v>3048</v>
      </c>
      <c r="E300" s="1310" t="s">
        <v>885</v>
      </c>
      <c r="F300" s="1310" t="s">
        <v>1952</v>
      </c>
      <c r="G300" s="1326">
        <v>11</v>
      </c>
      <c r="H300" s="486" t="e">
        <f t="array" aca="1" ref="H300" ca="1">+_xludf.IFS(E300="100% Presencial",1, E300="20% Teletrabajo (4 días a la semana)",0.8,E300="40% Teletrabajo (3 días a la semana)",0.6,E300="60% Teletrabajo (2 días a la semana)",0.4,E300="80% Teletrabajo (1 día a la semana)",0.2,E300="100% Teletrabajo",0)</f>
        <v>#NAME?</v>
      </c>
      <c r="I300" s="486" t="e">
        <f t="array" aca="1" ref="I300" ca="1">+_xludf.IFS(F300="Vehículo - Uso individual","Auto",F300="Vehículo - Uso compartido","Auto",F300="Transporte público/bus de acercamiento","Bus",F300="Moto","Moto",F300="Bicicleta o caminando","Bicicleta",F300="Ninguno, pues realicé 100% teletrabajo","No aplica",F300="Moto eléctrica","Moto eléctrica",F300="Vehículo eléctrico - Uso Individual","Vehículo eléctrico",F300="Vehículo eléctrico - Uso Compartido","Vehículo eléctrico")</f>
        <v>#NAME?</v>
      </c>
      <c r="J300" s="486">
        <v>1</v>
      </c>
      <c r="K300" s="1324" t="e">
        <f t="shared" ca="1" si="3"/>
        <v>#NAME?</v>
      </c>
      <c r="L300" s="1325">
        <f ca="1">+IFERROR(VLOOKUP(I300,'Factores Emisión EDGE'!$K$267:$L$272,2,0),0)</f>
        <v>0</v>
      </c>
      <c r="M300" s="1325" t="e">
        <f t="shared" ca="1" si="4"/>
        <v>#NAME?</v>
      </c>
      <c r="N300" s="486" t="s">
        <v>3043</v>
      </c>
      <c r="O300" s="1312"/>
      <c r="P300" s="1312"/>
    </row>
    <row r="301" spans="1:16" ht="15.75" customHeight="1">
      <c r="A301" s="1314">
        <v>44929.483420798613</v>
      </c>
      <c r="B301" s="1310" t="s">
        <v>2178</v>
      </c>
      <c r="C301" s="1310" t="s">
        <v>2179</v>
      </c>
      <c r="D301" s="1310" t="s">
        <v>3048</v>
      </c>
      <c r="E301" s="1310" t="s">
        <v>3066</v>
      </c>
      <c r="F301" s="1310" t="s">
        <v>1952</v>
      </c>
      <c r="G301" s="1326">
        <v>11</v>
      </c>
      <c r="H301" s="486" t="e">
        <f t="array" aca="1" ref="H301" ca="1">+_xludf.IFS(E301="100% Presencial",1, E301="20% Teletrabajo (4 días a la semana)",0.8,E301="40% Teletrabajo (3 días a la semana)",0.6,E301="60% Teletrabajo (2 días a la semana)",0.4,E301="80% Teletrabajo (1 día a la semana)",0.2,E301="100% Teletrabajo",0)</f>
        <v>#NAME?</v>
      </c>
      <c r="I301" s="486" t="e">
        <f t="array" aca="1" ref="I301" ca="1">+_xludf.IFS(F301="Vehículo - Uso individual","Auto",F301="Vehículo - Uso compartido","Auto",F301="Transporte público/bus de acercamiento","Bus",F301="Moto","Moto",F301="Bicicleta o caminando","Bicicleta",F301="Ninguno, pues realicé 100% teletrabajo","No aplica",F301="Moto eléctrica","Moto eléctrica",F301="Vehículo eléctrico - Uso Individual","Vehículo eléctrico",F301="Vehículo eléctrico - Uso Compartido","Vehículo eléctrico")</f>
        <v>#NAME?</v>
      </c>
      <c r="J301" s="486">
        <v>1</v>
      </c>
      <c r="K301" s="1324" t="e">
        <f t="shared" ca="1" si="3"/>
        <v>#NAME?</v>
      </c>
      <c r="L301" s="1325">
        <f ca="1">+IFERROR(VLOOKUP(I301,'Factores Emisión EDGE'!$K$267:$L$272,2,0),0)</f>
        <v>0</v>
      </c>
      <c r="M301" s="1325" t="e">
        <f t="shared" ca="1" si="4"/>
        <v>#NAME?</v>
      </c>
      <c r="N301" s="486" t="s">
        <v>3043</v>
      </c>
      <c r="O301" s="1312"/>
      <c r="P301" s="1312"/>
    </row>
    <row r="302" spans="1:16" ht="15.75" customHeight="1">
      <c r="A302" s="1314">
        <v>44929.516667824078</v>
      </c>
      <c r="B302" s="1310" t="s">
        <v>3471</v>
      </c>
      <c r="C302" s="1310" t="s">
        <v>3472</v>
      </c>
      <c r="D302" s="1310" t="s">
        <v>3048</v>
      </c>
      <c r="E302" s="1310" t="s">
        <v>3066</v>
      </c>
      <c r="F302" s="1310" t="s">
        <v>863</v>
      </c>
      <c r="G302" s="1326">
        <v>11</v>
      </c>
      <c r="H302" s="486" t="e">
        <f t="array" aca="1" ref="H302" ca="1">+_xludf.IFS(E302="100% Presencial",1, E302="20% Teletrabajo (4 días a la semana)",0.8,E302="40% Teletrabajo (3 días a la semana)",0.6,E302="60% Teletrabajo (2 días a la semana)",0.4,E302="80% Teletrabajo (1 día a la semana)",0.2,E302="100% Teletrabajo",0)</f>
        <v>#NAME?</v>
      </c>
      <c r="I302" s="486" t="e">
        <f t="array" aca="1" ref="I302" ca="1">+_xludf.IFS(F302="Vehículo - Uso individual","Auto",F302="Vehículo - Uso compartido","Auto",F302="Transporte público/bus de acercamiento","Bus",F302="Moto","Moto",F302="Bicicleta o caminando","Bicicleta",F302="Ninguno, pues realicé 100% teletrabajo","No aplica",F302="Moto eléctrica","Moto eléctrica",F302="Vehículo eléctrico - Uso Individual","Vehículo eléctrico",F302="Vehículo eléctrico - Uso Compartido","Vehículo eléctrico")</f>
        <v>#NAME?</v>
      </c>
      <c r="J302" s="486">
        <v>1</v>
      </c>
      <c r="K302" s="1324" t="e">
        <f t="shared" ca="1" si="3"/>
        <v>#NAME?</v>
      </c>
      <c r="L302" s="1325">
        <f ca="1">+IFERROR(VLOOKUP(I302,'Factores Emisión EDGE'!$K$267:$L$272,2,0),0)</f>
        <v>0</v>
      </c>
      <c r="M302" s="1325" t="e">
        <f t="shared" ca="1" si="4"/>
        <v>#NAME?</v>
      </c>
      <c r="N302" s="486" t="s">
        <v>3043</v>
      </c>
      <c r="O302" s="1312"/>
      <c r="P302" s="1312"/>
    </row>
    <row r="303" spans="1:16" ht="15.75" customHeight="1">
      <c r="A303" s="1314">
        <v>44930.062467152777</v>
      </c>
      <c r="B303" s="1310" t="s">
        <v>3473</v>
      </c>
      <c r="C303" s="1310" t="s">
        <v>2811</v>
      </c>
      <c r="D303" s="1310" t="s">
        <v>3054</v>
      </c>
      <c r="E303" s="1310" t="s">
        <v>3042</v>
      </c>
      <c r="F303" s="1310" t="s">
        <v>1995</v>
      </c>
      <c r="G303" s="1326">
        <v>11</v>
      </c>
      <c r="H303" s="486" t="e">
        <f t="array" aca="1" ref="H303" ca="1">+_xludf.IFS(E303="100% Presencial",1, E303="20% Teletrabajo (4 días a la semana)",0.8,E303="40% Teletrabajo (3 días a la semana)",0.6,E303="60% Teletrabajo (2 días a la semana)",0.4,E303="80% Teletrabajo (1 día a la semana)",0.2,E303="100% Teletrabajo",0)</f>
        <v>#NAME?</v>
      </c>
      <c r="I303" s="486" t="e">
        <f t="array" aca="1" ref="I303" ca="1">+_xludf.IFS(F303="Vehículo - Uso individual","Auto",F303="Vehículo - Uso compartido","Auto",F303="Transporte público/bus de acercamiento","Bus",F303="Moto","Moto",F303="Bicicleta o caminando","Bicicleta",F303="Ninguno, pues realicé 100% teletrabajo","No aplica",F303="Moto eléctrica","Moto eléctrica",F303="Vehículo eléctrico - Uso Individual","Vehículo eléctrico",F303="Vehículo eléctrico - Uso Compartido","Vehículo eléctrico")</f>
        <v>#NAME?</v>
      </c>
      <c r="J303" s="486">
        <v>0.25</v>
      </c>
      <c r="K303" s="1324" t="e">
        <f t="shared" ca="1" si="3"/>
        <v>#NAME?</v>
      </c>
      <c r="L303" s="1325">
        <f ca="1">+IFERROR(VLOOKUP(I303,'Factores Emisión EDGE'!$K$267:$L$272,2,0),0)</f>
        <v>0</v>
      </c>
      <c r="M303" s="1325" t="e">
        <f t="shared" ca="1" si="4"/>
        <v>#NAME?</v>
      </c>
      <c r="N303" s="486" t="s">
        <v>3043</v>
      </c>
      <c r="O303" s="1312"/>
      <c r="P303" s="1312"/>
    </row>
    <row r="304" spans="1:16" ht="15.75" customHeight="1">
      <c r="A304" s="1314">
        <v>44939.398425497682</v>
      </c>
      <c r="B304" s="1310" t="s">
        <v>3474</v>
      </c>
      <c r="C304" s="1310" t="s">
        <v>3475</v>
      </c>
      <c r="D304" s="1310" t="s">
        <v>3048</v>
      </c>
      <c r="E304" s="1310" t="s">
        <v>881</v>
      </c>
      <c r="F304" s="1310" t="s">
        <v>3055</v>
      </c>
      <c r="G304" s="1326">
        <v>11</v>
      </c>
      <c r="H304" s="486" t="e">
        <f t="array" aca="1" ref="H304" ca="1">+_xludf.IFS(E304="100% Presencial",1, E304="20% Teletrabajo (4 días a la semana)",0.8,E304="40% Teletrabajo (3 días a la semana)",0.6,E304="60% Teletrabajo (2 días a la semana)",0.4,E304="80% Teletrabajo (1 día a la semana)",0.2,E304="100% Teletrabajo",0)</f>
        <v>#NAME?</v>
      </c>
      <c r="I304" s="486" t="e">
        <f t="array" aca="1" ref="I304" ca="1">+_xludf.IFS(F304="Vehículo - Uso individual","Auto",F304="Vehículo - Uso compartido","Auto",F304="Transporte público/bus de acercamiento","Bus",F304="Moto","Moto",F304="Bicicleta o caminando","Bicicleta",F304="Ninguno, pues realicé 100% teletrabajo","No aplica",F304="Moto eléctrica","Moto eléctrica",F304="Vehículo eléctrico - Uso Individual","Vehículo eléctrico",F304="Vehículo eléctrico - Uso Compartido","Vehículo eléctrico")</f>
        <v>#NAME?</v>
      </c>
      <c r="J304" s="486">
        <v>1</v>
      </c>
      <c r="K304" s="1324" t="e">
        <f t="shared" ca="1" si="3"/>
        <v>#NAME?</v>
      </c>
      <c r="L304" s="1325">
        <f ca="1">+IFERROR(VLOOKUP(I304,'Factores Emisión EDGE'!$K$267:$L$272,2,0),0)</f>
        <v>0</v>
      </c>
      <c r="M304" s="1325" t="e">
        <f t="shared" ca="1" si="4"/>
        <v>#NAME?</v>
      </c>
      <c r="N304" s="486" t="s">
        <v>3043</v>
      </c>
      <c r="O304" s="1312"/>
      <c r="P304" s="1312"/>
    </row>
    <row r="305" spans="1:16" ht="15.75" customHeight="1">
      <c r="A305" s="1314">
        <v>44939.836190034723</v>
      </c>
      <c r="B305" s="1310" t="s">
        <v>3476</v>
      </c>
      <c r="C305" s="1310" t="s">
        <v>3477</v>
      </c>
      <c r="D305" s="1310" t="s">
        <v>3048</v>
      </c>
      <c r="E305" s="1310" t="s">
        <v>3042</v>
      </c>
      <c r="F305" s="1310" t="s">
        <v>1952</v>
      </c>
      <c r="G305" s="1326">
        <v>10.5</v>
      </c>
      <c r="H305" s="486" t="e">
        <f t="array" aca="1" ref="H305" ca="1">+_xludf.IFS(E305="100% Presencial",1, E305="20% Teletrabajo (4 días a la semana)",0.8,E305="40% Teletrabajo (3 días a la semana)",0.6,E305="60% Teletrabajo (2 días a la semana)",0.4,E305="80% Teletrabajo (1 día a la semana)",0.2,E305="100% Teletrabajo",0)</f>
        <v>#NAME?</v>
      </c>
      <c r="I305" s="486" t="e">
        <f t="array" aca="1" ref="I305" ca="1">+_xludf.IFS(F305="Vehículo - Uso individual","Auto",F305="Vehículo - Uso compartido","Auto",F305="Transporte público/bus de acercamiento","Bus",F305="Moto","Moto",F305="Bicicleta o caminando","Bicicleta",F305="Ninguno, pues realicé 100% teletrabajo","No aplica",F305="Moto eléctrica","Moto eléctrica",F305="Vehículo eléctrico - Uso Individual","Vehículo eléctrico",F305="Vehículo eléctrico - Uso Compartido","Vehículo eléctrico")</f>
        <v>#NAME?</v>
      </c>
      <c r="J305" s="486">
        <v>1</v>
      </c>
      <c r="K305" s="1324" t="e">
        <f t="shared" ca="1" si="3"/>
        <v>#NAME?</v>
      </c>
      <c r="L305" s="1325">
        <f ca="1">+IFERROR(VLOOKUP(I305,'Factores Emisión EDGE'!$K$267:$L$272,2,0),0)</f>
        <v>0</v>
      </c>
      <c r="M305" s="1325" t="e">
        <f t="shared" ca="1" si="4"/>
        <v>#NAME?</v>
      </c>
      <c r="N305" s="486" t="s">
        <v>3056</v>
      </c>
      <c r="O305" s="1312"/>
      <c r="P305" s="1312"/>
    </row>
    <row r="306" spans="1:16" ht="15.75" customHeight="1">
      <c r="A306" s="1314">
        <v>44929.508398715276</v>
      </c>
      <c r="B306" s="1310" t="s">
        <v>2497</v>
      </c>
      <c r="C306" s="1310" t="s">
        <v>2498</v>
      </c>
      <c r="D306" s="1310" t="s">
        <v>3048</v>
      </c>
      <c r="E306" s="1310" t="s">
        <v>881</v>
      </c>
      <c r="F306" s="1310" t="s">
        <v>3055</v>
      </c>
      <c r="G306" s="1326">
        <v>10.5</v>
      </c>
      <c r="H306" s="486" t="e">
        <f t="array" aca="1" ref="H306" ca="1">+_xludf.IFS(E306="100% Presencial",1, E306="20% Teletrabajo (4 días a la semana)",0.8,E306="40% Teletrabajo (3 días a la semana)",0.6,E306="60% Teletrabajo (2 días a la semana)",0.4,E306="80% Teletrabajo (1 día a la semana)",0.2,E306="100% Teletrabajo",0)</f>
        <v>#NAME?</v>
      </c>
      <c r="I306" s="486" t="e">
        <f t="array" aca="1" ref="I306" ca="1">+_xludf.IFS(F306="Vehículo - Uso individual","Auto",F306="Vehículo - Uso compartido","Auto",F306="Transporte público/bus de acercamiento","Bus",F306="Moto","Moto",F306="Bicicleta o caminando","Bicicleta",F306="Ninguno, pues realicé 100% teletrabajo","No aplica",F306="Moto eléctrica","Moto eléctrica",F306="Vehículo eléctrico - Uso Individual","Vehículo eléctrico",F306="Vehículo eléctrico - Uso Compartido","Vehículo eléctrico")</f>
        <v>#NAME?</v>
      </c>
      <c r="J306" s="486">
        <v>1</v>
      </c>
      <c r="K306" s="1324" t="e">
        <f t="shared" ca="1" si="3"/>
        <v>#NAME?</v>
      </c>
      <c r="L306" s="1325">
        <f ca="1">+IFERROR(VLOOKUP(I306,'Factores Emisión EDGE'!$K$267:$L$272,2,0),0)</f>
        <v>0</v>
      </c>
      <c r="M306" s="1325" t="e">
        <f t="shared" ca="1" si="4"/>
        <v>#NAME?</v>
      </c>
      <c r="N306" s="486" t="s">
        <v>3043</v>
      </c>
      <c r="O306" s="1312"/>
      <c r="P306" s="1312"/>
    </row>
    <row r="307" spans="1:16" ht="15.75" customHeight="1">
      <c r="A307" s="1314">
        <v>44929.488551331015</v>
      </c>
      <c r="B307" s="1310" t="s">
        <v>1971</v>
      </c>
      <c r="C307" s="1310" t="s">
        <v>1972</v>
      </c>
      <c r="D307" s="1310" t="s">
        <v>3048</v>
      </c>
      <c r="E307" s="1310" t="s">
        <v>885</v>
      </c>
      <c r="F307" s="1310" t="s">
        <v>1952</v>
      </c>
      <c r="G307" s="1326">
        <v>10.4</v>
      </c>
      <c r="H307" s="486" t="e">
        <f t="array" aca="1" ref="H307" ca="1">+_xludf.IFS(E307="100% Presencial",1, E307="20% Teletrabajo (4 días a la semana)",0.8,E307="40% Teletrabajo (3 días a la semana)",0.6,E307="60% Teletrabajo (2 días a la semana)",0.4,E307="80% Teletrabajo (1 día a la semana)",0.2,E307="100% Teletrabajo",0)</f>
        <v>#NAME?</v>
      </c>
      <c r="I307" s="486" t="e">
        <f t="array" aca="1" ref="I307" ca="1">+_xludf.IFS(F307="Vehículo - Uso individual","Auto",F307="Vehículo - Uso compartido","Auto",F307="Transporte público/bus de acercamiento","Bus",F307="Moto","Moto",F307="Bicicleta o caminando","Bicicleta",F307="Ninguno, pues realicé 100% teletrabajo","No aplica",F307="Moto eléctrica","Moto eléctrica",F307="Vehículo eléctrico - Uso Individual","Vehículo eléctrico",F307="Vehículo eléctrico - Uso Compartido","Vehículo eléctrico")</f>
        <v>#NAME?</v>
      </c>
      <c r="J307" s="486">
        <v>1</v>
      </c>
      <c r="K307" s="1324" t="e">
        <f t="shared" ca="1" si="3"/>
        <v>#NAME?</v>
      </c>
      <c r="L307" s="1325">
        <f ca="1">+IFERROR(VLOOKUP(I307,'Factores Emisión EDGE'!$K$267:$L$272,2,0),0)</f>
        <v>0</v>
      </c>
      <c r="M307" s="1325" t="e">
        <f t="shared" ca="1" si="4"/>
        <v>#NAME?</v>
      </c>
      <c r="N307" s="486" t="s">
        <v>3043</v>
      </c>
      <c r="O307" s="1312"/>
      <c r="P307" s="1312"/>
    </row>
    <row r="308" spans="1:16" ht="15.75" customHeight="1">
      <c r="A308" s="1314">
        <v>44930.82029606482</v>
      </c>
      <c r="B308" s="1310" t="s">
        <v>3478</v>
      </c>
      <c r="C308" s="1310" t="s">
        <v>3479</v>
      </c>
      <c r="D308" s="1310" t="s">
        <v>3107</v>
      </c>
      <c r="E308" s="1310" t="s">
        <v>3042</v>
      </c>
      <c r="F308" s="1310" t="s">
        <v>1995</v>
      </c>
      <c r="G308" s="1326">
        <v>10</v>
      </c>
      <c r="H308" s="486" t="e">
        <f t="array" aca="1" ref="H308" ca="1">+_xludf.IFS(E308="100% Presencial",1, E308="20% Teletrabajo (4 días a la semana)",0.8,E308="40% Teletrabajo (3 días a la semana)",0.6,E308="60% Teletrabajo (2 días a la semana)",0.4,E308="80% Teletrabajo (1 día a la semana)",0.2,E308="100% Teletrabajo",0)</f>
        <v>#NAME?</v>
      </c>
      <c r="I308" s="486" t="e">
        <f t="array" aca="1" ref="I308" ca="1">+_xludf.IFS(F308="Vehículo - Uso individual","Auto",F308="Vehículo - Uso compartido","Auto",F308="Transporte público/bus de acercamiento","Bus",F308="Moto","Moto",F308="Bicicleta o caminando","Bicicleta",F308="Ninguno, pues realicé 100% teletrabajo","No aplica",F308="Moto eléctrica","Moto eléctrica",F308="Vehículo eléctrico - Uso Individual","Vehículo eléctrico",F308="Vehículo eléctrico - Uso Compartido","Vehículo eléctrico")</f>
        <v>#NAME?</v>
      </c>
      <c r="J308" s="486">
        <v>0.25</v>
      </c>
      <c r="K308" s="1324" t="e">
        <f t="shared" ca="1" si="3"/>
        <v>#NAME?</v>
      </c>
      <c r="L308" s="1325">
        <f ca="1">+IFERROR(VLOOKUP(I308,'Factores Emisión EDGE'!$K$267:$L$272,2,0),0)</f>
        <v>0</v>
      </c>
      <c r="M308" s="1325" t="e">
        <f t="shared" ca="1" si="4"/>
        <v>#NAME?</v>
      </c>
      <c r="N308" s="486" t="s">
        <v>3056</v>
      </c>
      <c r="O308" s="1312"/>
      <c r="P308" s="1312"/>
    </row>
    <row r="309" spans="1:16" ht="15.75" customHeight="1">
      <c r="A309" s="1314">
        <v>44930.479659097226</v>
      </c>
      <c r="B309" s="1310" t="s">
        <v>3480</v>
      </c>
      <c r="C309" s="1310" t="s">
        <v>3481</v>
      </c>
      <c r="D309" s="1310" t="s">
        <v>3046</v>
      </c>
      <c r="E309" s="1310" t="s">
        <v>883</v>
      </c>
      <c r="F309" s="1310" t="s">
        <v>1952</v>
      </c>
      <c r="G309" s="1326">
        <v>10</v>
      </c>
      <c r="H309" s="486" t="e">
        <f t="array" aca="1" ref="H309" ca="1">+_xludf.IFS(E309="100% Presencial",1, E309="20% Teletrabajo (4 días a la semana)",0.8,E309="40% Teletrabajo (3 días a la semana)",0.6,E309="60% Teletrabajo (2 días a la semana)",0.4,E309="80% Teletrabajo (1 día a la semana)",0.2,E309="100% Teletrabajo",0)</f>
        <v>#NAME?</v>
      </c>
      <c r="I309" s="486" t="e">
        <f t="array" aca="1" ref="I309" ca="1">+_xludf.IFS(F309="Vehículo - Uso individual","Auto",F309="Vehículo - Uso compartido","Auto",F309="Transporte público/bus de acercamiento","Bus",F309="Moto","Moto",F309="Bicicleta o caminando","Bicicleta",F309="Ninguno, pues realicé 100% teletrabajo","No aplica",F309="Moto eléctrica","Moto eléctrica",F309="Vehículo eléctrico - Uso Individual","Vehículo eléctrico",F309="Vehículo eléctrico - Uso Compartido","Vehículo eléctrico")</f>
        <v>#NAME?</v>
      </c>
      <c r="J309" s="486">
        <v>1</v>
      </c>
      <c r="K309" s="1324" t="e">
        <f t="shared" ca="1" si="3"/>
        <v>#NAME?</v>
      </c>
      <c r="L309" s="1325">
        <f ca="1">+IFERROR(VLOOKUP(I309,'Factores Emisión EDGE'!$K$267:$L$272,2,0),0)</f>
        <v>0</v>
      </c>
      <c r="M309" s="1325" t="e">
        <f t="shared" ca="1" si="4"/>
        <v>#NAME?</v>
      </c>
      <c r="N309" s="486" t="s">
        <v>3056</v>
      </c>
      <c r="O309" s="1312"/>
      <c r="P309" s="1312"/>
    </row>
    <row r="310" spans="1:16" ht="15.75" customHeight="1">
      <c r="A310" s="1314">
        <v>44936.680266400464</v>
      </c>
      <c r="B310" s="1310" t="s">
        <v>2793</v>
      </c>
      <c r="C310" s="1310" t="s">
        <v>2794</v>
      </c>
      <c r="D310" s="1310" t="s">
        <v>3292</v>
      </c>
      <c r="E310" s="1310" t="s">
        <v>3042</v>
      </c>
      <c r="F310" s="1310" t="s">
        <v>1952</v>
      </c>
      <c r="G310" s="1326">
        <v>10</v>
      </c>
      <c r="H310" s="486" t="e">
        <f t="array" aca="1" ref="H310" ca="1">+_xludf.IFS(E310="100% Presencial",1, E310="20% Teletrabajo (4 días a la semana)",0.8,E310="40% Teletrabajo (3 días a la semana)",0.6,E310="60% Teletrabajo (2 días a la semana)",0.4,E310="80% Teletrabajo (1 día a la semana)",0.2,E310="100% Teletrabajo",0)</f>
        <v>#NAME?</v>
      </c>
      <c r="I310" s="486" t="e">
        <f t="array" aca="1" ref="I310" ca="1">+_xludf.IFS(F310="Vehículo - Uso individual","Auto",F310="Vehículo - Uso compartido","Auto",F310="Transporte público/bus de acercamiento","Bus",F310="Moto","Moto",F310="Bicicleta o caminando","Bicicleta",F310="Ninguno, pues realicé 100% teletrabajo","No aplica",F310="Moto eléctrica","Moto eléctrica",F310="Vehículo eléctrico - Uso Individual","Vehículo eléctrico",F310="Vehículo eléctrico - Uso Compartido","Vehículo eléctrico")</f>
        <v>#NAME?</v>
      </c>
      <c r="J310" s="486">
        <v>1</v>
      </c>
      <c r="K310" s="1324" t="e">
        <f t="shared" ca="1" si="3"/>
        <v>#NAME?</v>
      </c>
      <c r="L310" s="1325">
        <f ca="1">+IFERROR(VLOOKUP(I310,'Factores Emisión EDGE'!$K$267:$L$272,2,0),0)</f>
        <v>0</v>
      </c>
      <c r="M310" s="1325" t="e">
        <f t="shared" ca="1" si="4"/>
        <v>#NAME?</v>
      </c>
      <c r="N310" s="486" t="s">
        <v>3043</v>
      </c>
      <c r="O310" s="1312"/>
      <c r="P310" s="1312"/>
    </row>
    <row r="311" spans="1:16" ht="15.75" customHeight="1">
      <c r="A311" s="1314">
        <v>44938.623569374999</v>
      </c>
      <c r="B311" s="1310" t="s">
        <v>3482</v>
      </c>
      <c r="C311" s="1310" t="s">
        <v>3483</v>
      </c>
      <c r="D311" s="1310" t="s">
        <v>3063</v>
      </c>
      <c r="E311" s="1310" t="s">
        <v>3042</v>
      </c>
      <c r="F311" s="1310" t="s">
        <v>1952</v>
      </c>
      <c r="G311" s="1326">
        <v>10</v>
      </c>
      <c r="H311" s="486" t="e">
        <f t="array" aca="1" ref="H311" ca="1">+_xludf.IFS(E311="100% Presencial",1, E311="20% Teletrabajo (4 días a la semana)",0.8,E311="40% Teletrabajo (3 días a la semana)",0.6,E311="60% Teletrabajo (2 días a la semana)",0.4,E311="80% Teletrabajo (1 día a la semana)",0.2,E311="100% Teletrabajo",0)</f>
        <v>#NAME?</v>
      </c>
      <c r="I311" s="486" t="e">
        <f t="array" aca="1" ref="I311" ca="1">+_xludf.IFS(F311="Vehículo - Uso individual","Auto",F311="Vehículo - Uso compartido","Auto",F311="Transporte público/bus de acercamiento","Bus",F311="Moto","Moto",F311="Bicicleta o caminando","Bicicleta",F311="Ninguno, pues realicé 100% teletrabajo","No aplica",F311="Moto eléctrica","Moto eléctrica",F311="Vehículo eléctrico - Uso Individual","Vehículo eléctrico",F311="Vehículo eléctrico - Uso Compartido","Vehículo eléctrico")</f>
        <v>#NAME?</v>
      </c>
      <c r="J311" s="486">
        <v>1</v>
      </c>
      <c r="K311" s="1324" t="e">
        <f t="shared" ca="1" si="3"/>
        <v>#NAME?</v>
      </c>
      <c r="L311" s="1325">
        <f ca="1">+IFERROR(VLOOKUP(I311,'Factores Emisión EDGE'!$K$267:$L$272,2,0),0)</f>
        <v>0</v>
      </c>
      <c r="M311" s="1325" t="e">
        <f t="shared" ca="1" si="4"/>
        <v>#NAME?</v>
      </c>
      <c r="N311" s="486" t="s">
        <v>3056</v>
      </c>
      <c r="O311" s="1312"/>
      <c r="P311" s="1312"/>
    </row>
    <row r="312" spans="1:16" ht="15.75" customHeight="1">
      <c r="A312" s="1314">
        <v>44930.44902403935</v>
      </c>
      <c r="B312" s="1310" t="s">
        <v>3484</v>
      </c>
      <c r="C312" s="1310" t="s">
        <v>3485</v>
      </c>
      <c r="D312" s="1310" t="s">
        <v>3133</v>
      </c>
      <c r="E312" s="1310" t="s">
        <v>3042</v>
      </c>
      <c r="F312" s="1310" t="s">
        <v>3055</v>
      </c>
      <c r="G312" s="1326">
        <v>10</v>
      </c>
      <c r="H312" s="486" t="e">
        <f t="array" aca="1" ref="H312" ca="1">+_xludf.IFS(E312="100% Presencial",1, E312="20% Teletrabajo (4 días a la semana)",0.8,E312="40% Teletrabajo (3 días a la semana)",0.6,E312="60% Teletrabajo (2 días a la semana)",0.4,E312="80% Teletrabajo (1 día a la semana)",0.2,E312="100% Teletrabajo",0)</f>
        <v>#NAME?</v>
      </c>
      <c r="I312" s="486" t="e">
        <f t="array" aca="1" ref="I312" ca="1">+_xludf.IFS(F312="Vehículo - Uso individual","Auto",F312="Vehículo - Uso compartido","Auto",F312="Transporte público/bus de acercamiento","Bus",F312="Moto","Moto",F312="Bicicleta o caminando","Bicicleta",F312="Ninguno, pues realicé 100% teletrabajo","No aplica",F312="Moto eléctrica","Moto eléctrica",F312="Vehículo eléctrico - Uso Individual","Vehículo eléctrico",F312="Vehículo eléctrico - Uso Compartido","Vehículo eléctrico")</f>
        <v>#NAME?</v>
      </c>
      <c r="J312" s="486">
        <v>1</v>
      </c>
      <c r="K312" s="1324" t="e">
        <f t="shared" ca="1" si="3"/>
        <v>#NAME?</v>
      </c>
      <c r="L312" s="1325">
        <f ca="1">+IFERROR(VLOOKUP(I312,'Factores Emisión EDGE'!$K$267:$L$272,2,0),0)</f>
        <v>0</v>
      </c>
      <c r="M312" s="1325" t="e">
        <f t="shared" ca="1" si="4"/>
        <v>#NAME?</v>
      </c>
      <c r="N312" s="486" t="s">
        <v>3056</v>
      </c>
      <c r="O312" s="1312"/>
      <c r="P312" s="1312"/>
    </row>
    <row r="313" spans="1:16" ht="15.75" customHeight="1">
      <c r="A313" s="1314">
        <v>44930.478857442125</v>
      </c>
      <c r="B313" s="1310" t="s">
        <v>3486</v>
      </c>
      <c r="C313" s="1310" t="s">
        <v>3487</v>
      </c>
      <c r="D313" s="1310" t="s">
        <v>3292</v>
      </c>
      <c r="E313" s="1310" t="s">
        <v>3042</v>
      </c>
      <c r="F313" s="1310" t="s">
        <v>1952</v>
      </c>
      <c r="G313" s="1326">
        <v>10</v>
      </c>
      <c r="H313" s="486" t="e">
        <f t="array" aca="1" ref="H313" ca="1">+_xludf.IFS(E313="100% Presencial",1, E313="20% Teletrabajo (4 días a la semana)",0.8,E313="40% Teletrabajo (3 días a la semana)",0.6,E313="60% Teletrabajo (2 días a la semana)",0.4,E313="80% Teletrabajo (1 día a la semana)",0.2,E313="100% Teletrabajo",0)</f>
        <v>#NAME?</v>
      </c>
      <c r="I313" s="486" t="e">
        <f t="array" aca="1" ref="I313" ca="1">+_xludf.IFS(F313="Vehículo - Uso individual","Auto",F313="Vehículo - Uso compartido","Auto",F313="Transporte público/bus de acercamiento","Bus",F313="Moto","Moto",F313="Bicicleta o caminando","Bicicleta",F313="Ninguno, pues realicé 100% teletrabajo","No aplica",F313="Moto eléctrica","Moto eléctrica",F313="Vehículo eléctrico - Uso Individual","Vehículo eléctrico",F313="Vehículo eléctrico - Uso Compartido","Vehículo eléctrico")</f>
        <v>#NAME?</v>
      </c>
      <c r="J313" s="486">
        <v>1</v>
      </c>
      <c r="K313" s="1324" t="e">
        <f t="shared" ca="1" si="3"/>
        <v>#NAME?</v>
      </c>
      <c r="L313" s="1325">
        <f ca="1">+IFERROR(VLOOKUP(I313,'Factores Emisión EDGE'!$K$267:$L$272,2,0),0)</f>
        <v>0</v>
      </c>
      <c r="M313" s="1325" t="e">
        <f t="shared" ca="1" si="4"/>
        <v>#NAME?</v>
      </c>
      <c r="N313" s="486" t="s">
        <v>3056</v>
      </c>
      <c r="O313" s="1312"/>
      <c r="P313" s="1312"/>
    </row>
    <row r="314" spans="1:16" ht="15.75" customHeight="1">
      <c r="A314" s="1314">
        <v>44932.542425150459</v>
      </c>
      <c r="B314" s="1310" t="s">
        <v>3488</v>
      </c>
      <c r="C314" s="1310" t="s">
        <v>3489</v>
      </c>
      <c r="D314" s="1310" t="s">
        <v>3048</v>
      </c>
      <c r="E314" s="1310" t="s">
        <v>885</v>
      </c>
      <c r="F314" s="1310" t="s">
        <v>1952</v>
      </c>
      <c r="G314" s="1326">
        <v>10</v>
      </c>
      <c r="H314" s="486" t="e">
        <f t="array" aca="1" ref="H314" ca="1">+_xludf.IFS(E314="100% Presencial",1, E314="20% Teletrabajo (4 días a la semana)",0.8,E314="40% Teletrabajo (3 días a la semana)",0.6,E314="60% Teletrabajo (2 días a la semana)",0.4,E314="80% Teletrabajo (1 día a la semana)",0.2,E314="100% Teletrabajo",0)</f>
        <v>#NAME?</v>
      </c>
      <c r="I314" s="486" t="e">
        <f t="array" aca="1" ref="I314" ca="1">+_xludf.IFS(F314="Vehículo - Uso individual","Auto",F314="Vehículo - Uso compartido","Auto",F314="Transporte público/bus de acercamiento","Bus",F314="Moto","Moto",F314="Bicicleta o caminando","Bicicleta",F314="Ninguno, pues realicé 100% teletrabajo","No aplica",F314="Moto eléctrica","Moto eléctrica",F314="Vehículo eléctrico - Uso Individual","Vehículo eléctrico",F314="Vehículo eléctrico - Uso Compartido","Vehículo eléctrico")</f>
        <v>#NAME?</v>
      </c>
      <c r="J314" s="486">
        <v>1</v>
      </c>
      <c r="K314" s="1324" t="e">
        <f t="shared" ca="1" si="3"/>
        <v>#NAME?</v>
      </c>
      <c r="L314" s="1325">
        <f ca="1">+IFERROR(VLOOKUP(I314,'Factores Emisión EDGE'!$K$267:$L$272,2,0),0)</f>
        <v>0</v>
      </c>
      <c r="M314" s="1325" t="e">
        <f t="shared" ca="1" si="4"/>
        <v>#NAME?</v>
      </c>
      <c r="N314" s="486" t="s">
        <v>3043</v>
      </c>
      <c r="O314" s="1312"/>
      <c r="P314" s="1312"/>
    </row>
    <row r="315" spans="1:16" ht="15.75" customHeight="1">
      <c r="A315" s="1314">
        <v>44929.483011874996</v>
      </c>
      <c r="B315" s="1310" t="s">
        <v>2214</v>
      </c>
      <c r="C315" s="1310" t="s">
        <v>2215</v>
      </c>
      <c r="D315" s="1310" t="s">
        <v>3048</v>
      </c>
      <c r="E315" s="1310" t="s">
        <v>3042</v>
      </c>
      <c r="F315" s="1310" t="s">
        <v>1952</v>
      </c>
      <c r="G315" s="1326">
        <v>10</v>
      </c>
      <c r="H315" s="486" t="e">
        <f t="array" aca="1" ref="H315" ca="1">+_xludf.IFS(E315="100% Presencial",1, E315="20% Teletrabajo (4 días a la semana)",0.8,E315="40% Teletrabajo (3 días a la semana)",0.6,E315="60% Teletrabajo (2 días a la semana)",0.4,E315="80% Teletrabajo (1 día a la semana)",0.2,E315="100% Teletrabajo",0)</f>
        <v>#NAME?</v>
      </c>
      <c r="I315" s="486" t="e">
        <f t="array" aca="1" ref="I315" ca="1">+_xludf.IFS(F315="Vehículo - Uso individual","Auto",F315="Vehículo - Uso compartido","Auto",F315="Transporte público/bus de acercamiento","Bus",F315="Moto","Moto",F315="Bicicleta o caminando","Bicicleta",F315="Ninguno, pues realicé 100% teletrabajo","No aplica",F315="Moto eléctrica","Moto eléctrica",F315="Vehículo eléctrico - Uso Individual","Vehículo eléctrico",F315="Vehículo eléctrico - Uso Compartido","Vehículo eléctrico")</f>
        <v>#NAME?</v>
      </c>
      <c r="J315" s="486">
        <v>1</v>
      </c>
      <c r="K315" s="1324" t="e">
        <f t="shared" ca="1" si="3"/>
        <v>#NAME?</v>
      </c>
      <c r="L315" s="1325">
        <f ca="1">+IFERROR(VLOOKUP(I315,'Factores Emisión EDGE'!$K$267:$L$272,2,0),0)</f>
        <v>0</v>
      </c>
      <c r="M315" s="1325" t="e">
        <f t="shared" ca="1" si="4"/>
        <v>#NAME?</v>
      </c>
      <c r="N315" s="486" t="s">
        <v>3043</v>
      </c>
      <c r="O315" s="1312"/>
      <c r="P315" s="1312"/>
    </row>
    <row r="316" spans="1:16" ht="15.75" customHeight="1">
      <c r="A316" s="1314">
        <v>44929.483907511574</v>
      </c>
      <c r="B316" s="1310" t="s">
        <v>3490</v>
      </c>
      <c r="C316" s="1310" t="s">
        <v>2280</v>
      </c>
      <c r="D316" s="1310" t="s">
        <v>3054</v>
      </c>
      <c r="E316" s="1310" t="s">
        <v>3042</v>
      </c>
      <c r="F316" s="1310" t="s">
        <v>1952</v>
      </c>
      <c r="G316" s="1326">
        <v>10</v>
      </c>
      <c r="H316" s="486" t="e">
        <f t="array" aca="1" ref="H316" ca="1">+_xludf.IFS(E316="100% Presencial",1, E316="20% Teletrabajo (4 días a la semana)",0.8,E316="40% Teletrabajo (3 días a la semana)",0.6,E316="60% Teletrabajo (2 días a la semana)",0.4,E316="80% Teletrabajo (1 día a la semana)",0.2,E316="100% Teletrabajo",0)</f>
        <v>#NAME?</v>
      </c>
      <c r="I316" s="486" t="e">
        <f t="array" aca="1" ref="I316" ca="1">+_xludf.IFS(F316="Vehículo - Uso individual","Auto",F316="Vehículo - Uso compartido","Auto",F316="Transporte público/bus de acercamiento","Bus",F316="Moto","Moto",F316="Bicicleta o caminando","Bicicleta",F316="Ninguno, pues realicé 100% teletrabajo","No aplica",F316="Moto eléctrica","Moto eléctrica",F316="Vehículo eléctrico - Uso Individual","Vehículo eléctrico",F316="Vehículo eléctrico - Uso Compartido","Vehículo eléctrico")</f>
        <v>#NAME?</v>
      </c>
      <c r="J316" s="486">
        <v>1</v>
      </c>
      <c r="K316" s="1324" t="e">
        <f t="shared" ca="1" si="3"/>
        <v>#NAME?</v>
      </c>
      <c r="L316" s="1325">
        <f ca="1">+IFERROR(VLOOKUP(I316,'Factores Emisión EDGE'!$K$267:$L$272,2,0),0)</f>
        <v>0</v>
      </c>
      <c r="M316" s="1325" t="e">
        <f t="shared" ca="1" si="4"/>
        <v>#NAME?</v>
      </c>
      <c r="N316" s="486" t="s">
        <v>3043</v>
      </c>
      <c r="O316" s="1312"/>
      <c r="P316" s="1312"/>
    </row>
    <row r="317" spans="1:16" ht="15.75" customHeight="1">
      <c r="A317" s="1314">
        <v>44930.655202199079</v>
      </c>
      <c r="B317" s="1310" t="s">
        <v>3491</v>
      </c>
      <c r="C317" s="1310" t="s">
        <v>3492</v>
      </c>
      <c r="D317" s="1310" t="s">
        <v>3048</v>
      </c>
      <c r="E317" s="1310" t="s">
        <v>3042</v>
      </c>
      <c r="F317" s="1310" t="s">
        <v>3055</v>
      </c>
      <c r="G317" s="1326">
        <v>10</v>
      </c>
      <c r="H317" s="486" t="e">
        <f t="array" aca="1" ref="H317" ca="1">+_xludf.IFS(E317="100% Presencial",1, E317="20% Teletrabajo (4 días a la semana)",0.8,E317="40% Teletrabajo (3 días a la semana)",0.6,E317="60% Teletrabajo (2 días a la semana)",0.4,E317="80% Teletrabajo (1 día a la semana)",0.2,E317="100% Teletrabajo",0)</f>
        <v>#NAME?</v>
      </c>
      <c r="I317" s="486" t="e">
        <f t="array" aca="1" ref="I317" ca="1">+_xludf.IFS(F317="Vehículo - Uso individual","Auto",F317="Vehículo - Uso compartido","Auto",F317="Transporte público/bus de acercamiento","Bus",F317="Moto","Moto",F317="Bicicleta o caminando","Bicicleta",F317="Ninguno, pues realicé 100% teletrabajo","No aplica",F317="Moto eléctrica","Moto eléctrica",F317="Vehículo eléctrico - Uso Individual","Vehículo eléctrico",F317="Vehículo eléctrico - Uso Compartido","Vehículo eléctrico")</f>
        <v>#NAME?</v>
      </c>
      <c r="J317" s="486">
        <v>1</v>
      </c>
      <c r="K317" s="1324" t="e">
        <f t="shared" ca="1" si="3"/>
        <v>#NAME?</v>
      </c>
      <c r="L317" s="1325">
        <f ca="1">+IFERROR(VLOOKUP(I317,'Factores Emisión EDGE'!$K$267:$L$272,2,0),0)</f>
        <v>0</v>
      </c>
      <c r="M317" s="1325" t="e">
        <f t="shared" ca="1" si="4"/>
        <v>#NAME?</v>
      </c>
      <c r="N317" s="486" t="s">
        <v>3056</v>
      </c>
      <c r="O317" s="1312"/>
      <c r="P317" s="1312"/>
    </row>
    <row r="318" spans="1:16" ht="15.75" customHeight="1">
      <c r="A318" s="1314">
        <v>44935.630289768524</v>
      </c>
      <c r="B318" s="1310" t="s">
        <v>3493</v>
      </c>
      <c r="C318" s="1310" t="s">
        <v>3494</v>
      </c>
      <c r="D318" s="1310" t="s">
        <v>3133</v>
      </c>
      <c r="E318" s="1310" t="s">
        <v>885</v>
      </c>
      <c r="F318" s="1310" t="s">
        <v>1952</v>
      </c>
      <c r="G318" s="1326">
        <v>10</v>
      </c>
      <c r="H318" s="486" t="e">
        <f t="array" aca="1" ref="H318" ca="1">+_xludf.IFS(E318="100% Presencial",1, E318="20% Teletrabajo (4 días a la semana)",0.8,E318="40% Teletrabajo (3 días a la semana)",0.6,E318="60% Teletrabajo (2 días a la semana)",0.4,E318="80% Teletrabajo (1 día a la semana)",0.2,E318="100% Teletrabajo",0)</f>
        <v>#NAME?</v>
      </c>
      <c r="I318" s="486" t="e">
        <f t="array" aca="1" ref="I318" ca="1">+_xludf.IFS(F318="Vehículo - Uso individual","Auto",F318="Vehículo - Uso compartido","Auto",F318="Transporte público/bus de acercamiento","Bus",F318="Moto","Moto",F318="Bicicleta o caminando","Bicicleta",F318="Ninguno, pues realicé 100% teletrabajo","No aplica",F318="Moto eléctrica","Moto eléctrica",F318="Vehículo eléctrico - Uso Individual","Vehículo eléctrico",F318="Vehículo eléctrico - Uso Compartido","Vehículo eléctrico")</f>
        <v>#NAME?</v>
      </c>
      <c r="J318" s="486">
        <v>1</v>
      </c>
      <c r="K318" s="1324" t="e">
        <f t="shared" ca="1" si="3"/>
        <v>#NAME?</v>
      </c>
      <c r="L318" s="1325">
        <f ca="1">+IFERROR(VLOOKUP(I318,'Factores Emisión EDGE'!$K$267:$L$272,2,0),0)</f>
        <v>0</v>
      </c>
      <c r="M318" s="1325" t="e">
        <f t="shared" ca="1" si="4"/>
        <v>#NAME?</v>
      </c>
      <c r="N318" s="486" t="s">
        <v>3056</v>
      </c>
      <c r="O318" s="1312"/>
      <c r="P318" s="1312"/>
    </row>
    <row r="319" spans="1:16" ht="15.75" customHeight="1">
      <c r="A319" s="1314">
        <v>44937.596233032411</v>
      </c>
      <c r="B319" s="1310" t="s">
        <v>3495</v>
      </c>
      <c r="C319" s="1310" t="s">
        <v>2215</v>
      </c>
      <c r="D319" s="1310" t="s">
        <v>3048</v>
      </c>
      <c r="E319" s="1310" t="s">
        <v>3042</v>
      </c>
      <c r="F319" s="1310" t="s">
        <v>1952</v>
      </c>
      <c r="G319" s="1326">
        <v>10</v>
      </c>
      <c r="H319" s="486" t="e">
        <f t="array" aca="1" ref="H319" ca="1">+_xludf.IFS(E319="100% Presencial",1, E319="20% Teletrabajo (4 días a la semana)",0.8,E319="40% Teletrabajo (3 días a la semana)",0.6,E319="60% Teletrabajo (2 días a la semana)",0.4,E319="80% Teletrabajo (1 día a la semana)",0.2,E319="100% Teletrabajo",0)</f>
        <v>#NAME?</v>
      </c>
      <c r="I319" s="486" t="e">
        <f t="array" aca="1" ref="I319" ca="1">+_xludf.IFS(F319="Vehículo - Uso individual","Auto",F319="Vehículo - Uso compartido","Auto",F319="Transporte público/bus de acercamiento","Bus",F319="Moto","Moto",F319="Bicicleta o caminando","Bicicleta",F319="Ninguno, pues realicé 100% teletrabajo","No aplica",F319="Moto eléctrica","Moto eléctrica",F319="Vehículo eléctrico - Uso Individual","Vehículo eléctrico",F319="Vehículo eléctrico - Uso Compartido","Vehículo eléctrico")</f>
        <v>#NAME?</v>
      </c>
      <c r="J319" s="486">
        <v>1</v>
      </c>
      <c r="K319" s="1324" t="e">
        <f t="shared" ca="1" si="3"/>
        <v>#NAME?</v>
      </c>
      <c r="L319" s="1325">
        <f ca="1">+IFERROR(VLOOKUP(I319,'Factores Emisión EDGE'!$K$267:$L$272,2,0),0)</f>
        <v>0</v>
      </c>
      <c r="M319" s="1325" t="e">
        <f t="shared" ca="1" si="4"/>
        <v>#NAME?</v>
      </c>
      <c r="N319" s="486" t="s">
        <v>3043</v>
      </c>
      <c r="O319" s="1312"/>
      <c r="P319" s="1312"/>
    </row>
    <row r="320" spans="1:16" ht="15.75" customHeight="1">
      <c r="A320" s="1314">
        <v>44938.634553796292</v>
      </c>
      <c r="B320" s="1310" t="s">
        <v>3496</v>
      </c>
      <c r="C320" s="1310" t="s">
        <v>3497</v>
      </c>
      <c r="D320" s="1310" t="s">
        <v>3048</v>
      </c>
      <c r="E320" s="1310" t="s">
        <v>3042</v>
      </c>
      <c r="F320" s="1310" t="s">
        <v>1952</v>
      </c>
      <c r="G320" s="1326">
        <v>10</v>
      </c>
      <c r="H320" s="486" t="e">
        <f t="array" aca="1" ref="H320" ca="1">+_xludf.IFS(E320="100% Presencial",1, E320="20% Teletrabajo (4 días a la semana)",0.8,E320="40% Teletrabajo (3 días a la semana)",0.6,E320="60% Teletrabajo (2 días a la semana)",0.4,E320="80% Teletrabajo (1 día a la semana)",0.2,E320="100% Teletrabajo",0)</f>
        <v>#NAME?</v>
      </c>
      <c r="I320" s="486" t="e">
        <f t="array" aca="1" ref="I320" ca="1">+_xludf.IFS(F320="Vehículo - Uso individual","Auto",F320="Vehículo - Uso compartido","Auto",F320="Transporte público/bus de acercamiento","Bus",F320="Moto","Moto",F320="Bicicleta o caminando","Bicicleta",F320="Ninguno, pues realicé 100% teletrabajo","No aplica",F320="Moto eléctrica","Moto eléctrica",F320="Vehículo eléctrico - Uso Individual","Vehículo eléctrico",F320="Vehículo eléctrico - Uso Compartido","Vehículo eléctrico")</f>
        <v>#NAME?</v>
      </c>
      <c r="J320" s="486">
        <v>1</v>
      </c>
      <c r="K320" s="1324" t="e">
        <f t="shared" ca="1" si="3"/>
        <v>#NAME?</v>
      </c>
      <c r="L320" s="1325">
        <f ca="1">+IFERROR(VLOOKUP(I320,'Factores Emisión EDGE'!$K$267:$L$272,2,0),0)</f>
        <v>0</v>
      </c>
      <c r="M320" s="1325" t="e">
        <f t="shared" ca="1" si="4"/>
        <v>#NAME?</v>
      </c>
      <c r="N320" s="486" t="s">
        <v>3056</v>
      </c>
      <c r="O320" s="1312"/>
      <c r="P320" s="1312"/>
    </row>
    <row r="321" spans="1:16" ht="15.75" customHeight="1">
      <c r="A321" s="1314">
        <v>44939.394306527778</v>
      </c>
      <c r="B321" s="1310" t="s">
        <v>3498</v>
      </c>
      <c r="C321" s="1310" t="s">
        <v>3499</v>
      </c>
      <c r="D321" s="1310" t="s">
        <v>3048</v>
      </c>
      <c r="E321" s="1310" t="s">
        <v>3042</v>
      </c>
      <c r="F321" s="1310" t="s">
        <v>3055</v>
      </c>
      <c r="G321" s="1326">
        <v>10</v>
      </c>
      <c r="H321" s="486" t="e">
        <f t="array" aca="1" ref="H321" ca="1">+_xludf.IFS(E321="100% Presencial",1, E321="20% Teletrabajo (4 días a la semana)",0.8,E321="40% Teletrabajo (3 días a la semana)",0.6,E321="60% Teletrabajo (2 días a la semana)",0.4,E321="80% Teletrabajo (1 día a la semana)",0.2,E321="100% Teletrabajo",0)</f>
        <v>#NAME?</v>
      </c>
      <c r="I321" s="486" t="e">
        <f t="array" aca="1" ref="I321" ca="1">+_xludf.IFS(F321="Vehículo - Uso individual","Auto",F321="Vehículo - Uso compartido","Auto",F321="Transporte público/bus de acercamiento","Bus",F321="Moto","Moto",F321="Bicicleta o caminando","Bicicleta",F321="Ninguno, pues realicé 100% teletrabajo","No aplica",F321="Moto eléctrica","Moto eléctrica",F321="Vehículo eléctrico - Uso Individual","Vehículo eléctrico",F321="Vehículo eléctrico - Uso Compartido","Vehículo eléctrico")</f>
        <v>#NAME?</v>
      </c>
      <c r="J321" s="486">
        <v>1</v>
      </c>
      <c r="K321" s="1324" t="e">
        <f t="shared" ca="1" si="3"/>
        <v>#NAME?</v>
      </c>
      <c r="L321" s="1325">
        <f ca="1">+IFERROR(VLOOKUP(I321,'Factores Emisión EDGE'!$K$267:$L$272,2,0),0)</f>
        <v>0</v>
      </c>
      <c r="M321" s="1325" t="e">
        <f t="shared" ca="1" si="4"/>
        <v>#NAME?</v>
      </c>
      <c r="N321" s="486" t="s">
        <v>3043</v>
      </c>
      <c r="O321" s="1312"/>
      <c r="P321" s="1312"/>
    </row>
    <row r="322" spans="1:16" ht="15.75" customHeight="1">
      <c r="A322" s="1314">
        <v>44939.427907766207</v>
      </c>
      <c r="B322" s="1310" t="s">
        <v>3500</v>
      </c>
      <c r="C322" s="1310" t="s">
        <v>2280</v>
      </c>
      <c r="D322" s="1310" t="s">
        <v>3054</v>
      </c>
      <c r="E322" s="1310" t="s">
        <v>3042</v>
      </c>
      <c r="F322" s="1310" t="s">
        <v>1952</v>
      </c>
      <c r="G322" s="1326">
        <v>10</v>
      </c>
      <c r="H322" s="486" t="e">
        <f t="array" aca="1" ref="H322" ca="1">+_xludf.IFS(E322="100% Presencial",1, E322="20% Teletrabajo (4 días a la semana)",0.8,E322="40% Teletrabajo (3 días a la semana)",0.6,E322="60% Teletrabajo (2 días a la semana)",0.4,E322="80% Teletrabajo (1 día a la semana)",0.2,E322="100% Teletrabajo",0)</f>
        <v>#NAME?</v>
      </c>
      <c r="I322" s="486" t="e">
        <f t="array" aca="1" ref="I322" ca="1">+_xludf.IFS(F322="Vehículo - Uso individual","Auto",F322="Vehículo - Uso compartido","Auto",F322="Transporte público/bus de acercamiento","Bus",F322="Moto","Moto",F322="Bicicleta o caminando","Bicicleta",F322="Ninguno, pues realicé 100% teletrabajo","No aplica",F322="Moto eléctrica","Moto eléctrica",F322="Vehículo eléctrico - Uso Individual","Vehículo eléctrico",F322="Vehículo eléctrico - Uso Compartido","Vehículo eléctrico")</f>
        <v>#NAME?</v>
      </c>
      <c r="J322" s="486">
        <v>1</v>
      </c>
      <c r="K322" s="1324" t="e">
        <f t="shared" ca="1" si="3"/>
        <v>#NAME?</v>
      </c>
      <c r="L322" s="1325">
        <f ca="1">+IFERROR(VLOOKUP(I322,'Factores Emisión EDGE'!$K$267:$L$272,2,0),0)</f>
        <v>0</v>
      </c>
      <c r="M322" s="1325" t="e">
        <f t="shared" ca="1" si="4"/>
        <v>#NAME?</v>
      </c>
      <c r="N322" s="486" t="s">
        <v>3043</v>
      </c>
      <c r="O322" s="1312"/>
      <c r="P322" s="1312"/>
    </row>
    <row r="323" spans="1:16" ht="15.75" customHeight="1">
      <c r="A323" s="1314">
        <v>44939.526871377311</v>
      </c>
      <c r="B323" s="1310" t="s">
        <v>3501</v>
      </c>
      <c r="C323" s="1310" t="s">
        <v>3502</v>
      </c>
      <c r="D323" s="1310" t="s">
        <v>3083</v>
      </c>
      <c r="E323" s="1310" t="s">
        <v>3042</v>
      </c>
      <c r="F323" s="1310" t="s">
        <v>1952</v>
      </c>
      <c r="G323" s="1326">
        <v>10</v>
      </c>
      <c r="H323" s="486" t="e">
        <f t="array" aca="1" ref="H323" ca="1">+_xludf.IFS(E323="100% Presencial",1, E323="20% Teletrabajo (4 días a la semana)",0.8,E323="40% Teletrabajo (3 días a la semana)",0.6,E323="60% Teletrabajo (2 días a la semana)",0.4,E323="80% Teletrabajo (1 día a la semana)",0.2,E323="100% Teletrabajo",0)</f>
        <v>#NAME?</v>
      </c>
      <c r="I323" s="486" t="e">
        <f t="array" aca="1" ref="I323" ca="1">+_xludf.IFS(F323="Vehículo - Uso individual","Auto",F323="Vehículo - Uso compartido","Auto",F323="Transporte público/bus de acercamiento","Bus",F323="Moto","Moto",F323="Bicicleta o caminando","Bicicleta",F323="Ninguno, pues realicé 100% teletrabajo","No aplica",F323="Moto eléctrica","Moto eléctrica",F323="Vehículo eléctrico - Uso Individual","Vehículo eléctrico",F323="Vehículo eléctrico - Uso Compartido","Vehículo eléctrico")</f>
        <v>#NAME?</v>
      </c>
      <c r="J323" s="486">
        <v>1</v>
      </c>
      <c r="K323" s="1324" t="e">
        <f t="shared" ca="1" si="3"/>
        <v>#NAME?</v>
      </c>
      <c r="L323" s="1325">
        <f ca="1">+IFERROR(VLOOKUP(I323,'Factores Emisión EDGE'!$K$267:$L$272,2,0),0)</f>
        <v>0</v>
      </c>
      <c r="M323" s="1325" t="e">
        <f t="shared" ca="1" si="4"/>
        <v>#NAME?</v>
      </c>
      <c r="N323" s="486" t="s">
        <v>3043</v>
      </c>
      <c r="O323" s="1312"/>
      <c r="P323" s="1312"/>
    </row>
    <row r="324" spans="1:16" ht="15.75" customHeight="1">
      <c r="A324" s="1314">
        <v>44939.430462048607</v>
      </c>
      <c r="B324" s="1310" t="s">
        <v>3503</v>
      </c>
      <c r="C324" s="1310" t="s">
        <v>3504</v>
      </c>
      <c r="D324" s="1310" t="s">
        <v>3048</v>
      </c>
      <c r="E324" s="1312" t="s">
        <v>3049</v>
      </c>
      <c r="F324" s="1310" t="s">
        <v>1983</v>
      </c>
      <c r="G324" s="1326">
        <v>10</v>
      </c>
      <c r="H324" s="486" t="e">
        <f t="array" aca="1" ref="H324" ca="1">+_xludf.IFS(E324="100% Presencial",1, E324="20% Teletrabajo (4 días a la semana)",0.8,E324="40% Teletrabajo (3 días a la semana)",0.6,E324="60% Teletrabajo (2 días a la semana)",0.4,E324="80% Teletrabajo (1 día a la semana)",0.2,E324="100% Teletrabajo",0)</f>
        <v>#NAME?</v>
      </c>
      <c r="I324" s="486" t="e">
        <f t="array" aca="1" ref="I324" ca="1">+_xludf.IFS(F324="Vehículo - Uso individual","Auto",F324="Vehículo - Uso compartido","Auto",F324="Transporte público/bus de acercamiento","Bus",F324="Moto","Moto",F324="Bicicleta o caminando","Bicicleta",F324="Ninguno, pues realicé 100% teletrabajo","No aplica",F324="Moto eléctrica","Moto eléctrica",F324="Vehículo eléctrico - Uso Individual","Vehículo eléctrico",F324="Vehículo eléctrico - Uso Compartido","Vehículo eléctrico")</f>
        <v>#NAME?</v>
      </c>
      <c r="J324" s="486">
        <v>1</v>
      </c>
      <c r="K324" s="1324" t="e">
        <f t="shared" ca="1" si="3"/>
        <v>#NAME?</v>
      </c>
      <c r="L324" s="1325">
        <f ca="1">+IFERROR(VLOOKUP(I324,'Factores Emisión EDGE'!$K$267:$L$272,2,0),0)</f>
        <v>0</v>
      </c>
      <c r="M324" s="1325" t="e">
        <f t="shared" ca="1" si="4"/>
        <v>#NAME?</v>
      </c>
      <c r="N324" s="486" t="s">
        <v>3043</v>
      </c>
      <c r="O324" s="1312"/>
      <c r="P324" s="1312"/>
    </row>
    <row r="325" spans="1:16" ht="15.75" customHeight="1">
      <c r="A325" s="1314">
        <v>44939.44760565972</v>
      </c>
      <c r="B325" s="1310" t="s">
        <v>3505</v>
      </c>
      <c r="C325" s="1310" t="s">
        <v>3506</v>
      </c>
      <c r="D325" s="1310" t="s">
        <v>3048</v>
      </c>
      <c r="E325" s="1310" t="s">
        <v>3042</v>
      </c>
      <c r="F325" s="1310" t="s">
        <v>1952</v>
      </c>
      <c r="G325" s="1326">
        <v>10</v>
      </c>
      <c r="H325" s="486" t="e">
        <f t="array" aca="1" ref="H325" ca="1">+_xludf.IFS(E325="100% Presencial",1, E325="20% Teletrabajo (4 días a la semana)",0.8,E325="40% Teletrabajo (3 días a la semana)",0.6,E325="60% Teletrabajo (2 días a la semana)",0.4,E325="80% Teletrabajo (1 día a la semana)",0.2,E325="100% Teletrabajo",0)</f>
        <v>#NAME?</v>
      </c>
      <c r="I325" s="486" t="e">
        <f t="array" aca="1" ref="I325" ca="1">+_xludf.IFS(F325="Vehículo - Uso individual","Auto",F325="Vehículo - Uso compartido","Auto",F325="Transporte público/bus de acercamiento","Bus",F325="Moto","Moto",F325="Bicicleta o caminando","Bicicleta",F325="Ninguno, pues realicé 100% teletrabajo","No aplica",F325="Moto eléctrica","Moto eléctrica",F325="Vehículo eléctrico - Uso Individual","Vehículo eléctrico",F325="Vehículo eléctrico - Uso Compartido","Vehículo eléctrico")</f>
        <v>#NAME?</v>
      </c>
      <c r="J325" s="486">
        <v>1</v>
      </c>
      <c r="K325" s="1324" t="e">
        <f t="shared" ca="1" si="3"/>
        <v>#NAME?</v>
      </c>
      <c r="L325" s="1325">
        <f ca="1">+IFERROR(VLOOKUP(I325,'Factores Emisión EDGE'!$K$267:$L$272,2,0),0)</f>
        <v>0</v>
      </c>
      <c r="M325" s="1325" t="e">
        <f t="shared" ca="1" si="4"/>
        <v>#NAME?</v>
      </c>
      <c r="N325" s="486" t="s">
        <v>3043</v>
      </c>
      <c r="O325" s="1312"/>
      <c r="P325" s="1312"/>
    </row>
    <row r="326" spans="1:16" ht="15.75" customHeight="1">
      <c r="A326" s="1314">
        <v>44939.382947546299</v>
      </c>
      <c r="B326" s="1310" t="s">
        <v>2027</v>
      </c>
      <c r="C326" s="1310" t="s">
        <v>2028</v>
      </c>
      <c r="D326" s="1310" t="s">
        <v>3048</v>
      </c>
      <c r="E326" s="1310" t="s">
        <v>3042</v>
      </c>
      <c r="F326" s="1310" t="s">
        <v>1983</v>
      </c>
      <c r="G326" s="1326">
        <v>10</v>
      </c>
      <c r="H326" s="486" t="e">
        <f t="array" aca="1" ref="H326" ca="1">+_xludf.IFS(E326="100% Presencial",1, E326="20% Teletrabajo (4 días a la semana)",0.8,E326="40% Teletrabajo (3 días a la semana)",0.6,E326="60% Teletrabajo (2 días a la semana)",0.4,E326="80% Teletrabajo (1 día a la semana)",0.2,E326="100% Teletrabajo",0)</f>
        <v>#NAME?</v>
      </c>
      <c r="I326" s="486" t="e">
        <f t="array" aca="1" ref="I326" ca="1">+_xludf.IFS(F326="Vehículo - Uso individual","Auto",F326="Vehículo - Uso compartido","Auto",F326="Transporte público/bus de acercamiento","Bus",F326="Moto","Moto",F326="Bicicleta o caminando","Bicicleta",F326="Ninguno, pues realicé 100% teletrabajo","No aplica",F326="Moto eléctrica","Moto eléctrica",F326="Vehículo eléctrico - Uso Individual","Vehículo eléctrico",F326="Vehículo eléctrico - Uso Compartido","Vehículo eléctrico")</f>
        <v>#NAME?</v>
      </c>
      <c r="J326" s="486">
        <v>1</v>
      </c>
      <c r="K326" s="1324" t="e">
        <f t="shared" ca="1" si="3"/>
        <v>#NAME?</v>
      </c>
      <c r="L326" s="1325">
        <f ca="1">+IFERROR(VLOOKUP(I326,'Factores Emisión EDGE'!$K$267:$L$272,2,0),0)</f>
        <v>0</v>
      </c>
      <c r="M326" s="1325" t="e">
        <f t="shared" ca="1" si="4"/>
        <v>#NAME?</v>
      </c>
      <c r="N326" s="486" t="s">
        <v>3043</v>
      </c>
      <c r="O326" s="1312"/>
      <c r="P326" s="1312"/>
    </row>
    <row r="327" spans="1:16" ht="15.75" customHeight="1">
      <c r="A327" s="1314">
        <v>44938.633721620368</v>
      </c>
      <c r="B327" s="1310" t="s">
        <v>3507</v>
      </c>
      <c r="C327" s="1310" t="s">
        <v>3508</v>
      </c>
      <c r="D327" s="1310" t="s">
        <v>3080</v>
      </c>
      <c r="E327" s="1310" t="s">
        <v>3042</v>
      </c>
      <c r="F327" s="1310" t="s">
        <v>1952</v>
      </c>
      <c r="G327" s="1326">
        <v>10</v>
      </c>
      <c r="H327" s="486" t="e">
        <f t="array" aca="1" ref="H327" ca="1">+_xludf.IFS(E327="100% Presencial",1, E327="20% Teletrabajo (4 días a la semana)",0.8,E327="40% Teletrabajo (3 días a la semana)",0.6,E327="60% Teletrabajo (2 días a la semana)",0.4,E327="80% Teletrabajo (1 día a la semana)",0.2,E327="100% Teletrabajo",0)</f>
        <v>#NAME?</v>
      </c>
      <c r="I327" s="486" t="e">
        <f t="array" aca="1" ref="I327" ca="1">+_xludf.IFS(F327="Vehículo - Uso individual","Auto",F327="Vehículo - Uso compartido","Auto",F327="Transporte público/bus de acercamiento","Bus",F327="Moto","Moto",F327="Bicicleta o caminando","Bicicleta",F327="Ninguno, pues realicé 100% teletrabajo","No aplica",F327="Moto eléctrica","Moto eléctrica",F327="Vehículo eléctrico - Uso Individual","Vehículo eléctrico",F327="Vehículo eléctrico - Uso Compartido","Vehículo eléctrico")</f>
        <v>#NAME?</v>
      </c>
      <c r="J327" s="486">
        <v>1</v>
      </c>
      <c r="K327" s="1324" t="e">
        <f t="shared" ca="1" si="3"/>
        <v>#NAME?</v>
      </c>
      <c r="L327" s="1325">
        <f ca="1">+IFERROR(VLOOKUP(I327,'Factores Emisión EDGE'!$K$267:$L$272,2,0),0)</f>
        <v>0</v>
      </c>
      <c r="M327" s="1325" t="e">
        <f t="shared" ca="1" si="4"/>
        <v>#NAME?</v>
      </c>
      <c r="N327" s="486" t="s">
        <v>3056</v>
      </c>
      <c r="O327" s="1312"/>
      <c r="P327" s="1312"/>
    </row>
    <row r="328" spans="1:16" ht="15.75" customHeight="1">
      <c r="A328" s="1314">
        <v>44929.481810960649</v>
      </c>
      <c r="B328" s="1310" t="s">
        <v>1984</v>
      </c>
      <c r="C328" s="1310" t="s">
        <v>1985</v>
      </c>
      <c r="D328" s="1310" t="s">
        <v>3048</v>
      </c>
      <c r="E328" s="1310" t="s">
        <v>3042</v>
      </c>
      <c r="F328" s="1310" t="s">
        <v>3055</v>
      </c>
      <c r="G328" s="1326">
        <v>10</v>
      </c>
      <c r="H328" s="486" t="e">
        <f t="array" aca="1" ref="H328" ca="1">+_xludf.IFS(E328="100% Presencial",1, E328="20% Teletrabajo (4 días a la semana)",0.8,E328="40% Teletrabajo (3 días a la semana)",0.6,E328="60% Teletrabajo (2 días a la semana)",0.4,E328="80% Teletrabajo (1 día a la semana)",0.2,E328="100% Teletrabajo",0)</f>
        <v>#NAME?</v>
      </c>
      <c r="I328" s="486" t="e">
        <f t="array" aca="1" ref="I328" ca="1">+_xludf.IFS(F328="Vehículo - Uso individual","Auto",F328="Vehículo - Uso compartido","Auto",F328="Transporte público/bus de acercamiento","Bus",F328="Moto","Moto",F328="Bicicleta o caminando","Bicicleta",F328="Ninguno, pues realicé 100% teletrabajo","No aplica",F328="Moto eléctrica","Moto eléctrica",F328="Vehículo eléctrico - Uso Individual","Vehículo eléctrico",F328="Vehículo eléctrico - Uso Compartido","Vehículo eléctrico")</f>
        <v>#NAME?</v>
      </c>
      <c r="J328" s="486">
        <v>1</v>
      </c>
      <c r="K328" s="1324" t="e">
        <f t="shared" ca="1" si="3"/>
        <v>#NAME?</v>
      </c>
      <c r="L328" s="1325">
        <f ca="1">+IFERROR(VLOOKUP(I328,'Factores Emisión EDGE'!$K$267:$L$272,2,0),0)</f>
        <v>0</v>
      </c>
      <c r="M328" s="1325" t="e">
        <f t="shared" ca="1" si="4"/>
        <v>#NAME?</v>
      </c>
      <c r="N328" s="486" t="s">
        <v>3043</v>
      </c>
      <c r="O328" s="1312"/>
      <c r="P328" s="1312"/>
    </row>
    <row r="329" spans="1:16" ht="15.75" customHeight="1">
      <c r="A329" s="1314">
        <v>44929.483041064814</v>
      </c>
      <c r="B329" s="1310" t="s">
        <v>1986</v>
      </c>
      <c r="C329" s="1310" t="s">
        <v>3509</v>
      </c>
      <c r="D329" s="1310" t="s">
        <v>3133</v>
      </c>
      <c r="E329" s="1310" t="s">
        <v>3066</v>
      </c>
      <c r="F329" s="1310" t="s">
        <v>1952</v>
      </c>
      <c r="G329" s="1326">
        <v>10</v>
      </c>
      <c r="H329" s="486" t="e">
        <f t="array" aca="1" ref="H329" ca="1">+_xludf.IFS(E329="100% Presencial",1, E329="20% Teletrabajo (4 días a la semana)",0.8,E329="40% Teletrabajo (3 días a la semana)",0.6,E329="60% Teletrabajo (2 días a la semana)",0.4,E329="80% Teletrabajo (1 día a la semana)",0.2,E329="100% Teletrabajo",0)</f>
        <v>#NAME?</v>
      </c>
      <c r="I329" s="486" t="e">
        <f t="array" aca="1" ref="I329" ca="1">+_xludf.IFS(F329="Vehículo - Uso individual","Auto",F329="Vehículo - Uso compartido","Auto",F329="Transporte público/bus de acercamiento","Bus",F329="Moto","Moto",F329="Bicicleta o caminando","Bicicleta",F329="Ninguno, pues realicé 100% teletrabajo","No aplica",F329="Moto eléctrica","Moto eléctrica",F329="Vehículo eléctrico - Uso Individual","Vehículo eléctrico",F329="Vehículo eléctrico - Uso Compartido","Vehículo eléctrico")</f>
        <v>#NAME?</v>
      </c>
      <c r="J329" s="486">
        <v>1</v>
      </c>
      <c r="K329" s="1324" t="e">
        <f t="shared" ca="1" si="3"/>
        <v>#NAME?</v>
      </c>
      <c r="L329" s="1325">
        <f ca="1">+IFERROR(VLOOKUP(I329,'Factores Emisión EDGE'!$K$267:$L$272,2,0),0)</f>
        <v>0</v>
      </c>
      <c r="M329" s="1325" t="e">
        <f t="shared" ca="1" si="4"/>
        <v>#NAME?</v>
      </c>
      <c r="N329" s="486" t="s">
        <v>3043</v>
      </c>
      <c r="O329" s="1312"/>
      <c r="P329" s="1312"/>
    </row>
    <row r="330" spans="1:16" ht="15.75" customHeight="1">
      <c r="A330" s="1314">
        <v>44929.484390428246</v>
      </c>
      <c r="B330" s="1310" t="s">
        <v>3510</v>
      </c>
      <c r="C330" s="1310" t="s">
        <v>3511</v>
      </c>
      <c r="D330" s="1310" t="s">
        <v>3162</v>
      </c>
      <c r="E330" s="1310" t="s">
        <v>3042</v>
      </c>
      <c r="F330" s="1310" t="s">
        <v>1952</v>
      </c>
      <c r="G330" s="1326">
        <v>10</v>
      </c>
      <c r="H330" s="486" t="e">
        <f t="array" aca="1" ref="H330" ca="1">+_xludf.IFS(E330="100% Presencial",1, E330="20% Teletrabajo (4 días a la semana)",0.8,E330="40% Teletrabajo (3 días a la semana)",0.6,E330="60% Teletrabajo (2 días a la semana)",0.4,E330="80% Teletrabajo (1 día a la semana)",0.2,E330="100% Teletrabajo",0)</f>
        <v>#NAME?</v>
      </c>
      <c r="I330" s="486" t="e">
        <f t="array" aca="1" ref="I330" ca="1">+_xludf.IFS(F330="Vehículo - Uso individual","Auto",F330="Vehículo - Uso compartido","Auto",F330="Transporte público/bus de acercamiento","Bus",F330="Moto","Moto",F330="Bicicleta o caminando","Bicicleta",F330="Ninguno, pues realicé 100% teletrabajo","No aplica",F330="Moto eléctrica","Moto eléctrica",F330="Vehículo eléctrico - Uso Individual","Vehículo eléctrico",F330="Vehículo eléctrico - Uso Compartido","Vehículo eléctrico")</f>
        <v>#NAME?</v>
      </c>
      <c r="J330" s="486">
        <v>1</v>
      </c>
      <c r="K330" s="1324" t="e">
        <f t="shared" ca="1" si="3"/>
        <v>#NAME?</v>
      </c>
      <c r="L330" s="1325">
        <f ca="1">+IFERROR(VLOOKUP(I330,'Factores Emisión EDGE'!$K$267:$L$272,2,0),0)</f>
        <v>0</v>
      </c>
      <c r="M330" s="1325" t="e">
        <f t="shared" ca="1" si="4"/>
        <v>#NAME?</v>
      </c>
      <c r="N330" s="486" t="s">
        <v>3043</v>
      </c>
      <c r="O330" s="1312"/>
      <c r="P330" s="1312"/>
    </row>
    <row r="331" spans="1:16" ht="15.75" customHeight="1">
      <c r="A331" s="1314">
        <v>44929.485412858798</v>
      </c>
      <c r="B331" s="1310" t="s">
        <v>3512</v>
      </c>
      <c r="C331" s="1310" t="s">
        <v>3513</v>
      </c>
      <c r="D331" s="1310" t="s">
        <v>3060</v>
      </c>
      <c r="E331" s="1310" t="s">
        <v>3042</v>
      </c>
      <c r="F331" s="1310" t="s">
        <v>1952</v>
      </c>
      <c r="G331" s="1326">
        <v>10</v>
      </c>
      <c r="H331" s="486" t="e">
        <f t="array" aca="1" ref="H331" ca="1">+_xludf.IFS(E331="100% Presencial",1, E331="20% Teletrabajo (4 días a la semana)",0.8,E331="40% Teletrabajo (3 días a la semana)",0.6,E331="60% Teletrabajo (2 días a la semana)",0.4,E331="80% Teletrabajo (1 día a la semana)",0.2,E331="100% Teletrabajo",0)</f>
        <v>#NAME?</v>
      </c>
      <c r="I331" s="486" t="e">
        <f t="array" aca="1" ref="I331" ca="1">+_xludf.IFS(F331="Vehículo - Uso individual","Auto",F331="Vehículo - Uso compartido","Auto",F331="Transporte público/bus de acercamiento","Bus",F331="Moto","Moto",F331="Bicicleta o caminando","Bicicleta",F331="Ninguno, pues realicé 100% teletrabajo","No aplica",F331="Moto eléctrica","Moto eléctrica",F331="Vehículo eléctrico - Uso Individual","Vehículo eléctrico",F331="Vehículo eléctrico - Uso Compartido","Vehículo eléctrico")</f>
        <v>#NAME?</v>
      </c>
      <c r="J331" s="486">
        <v>1</v>
      </c>
      <c r="K331" s="1324" t="e">
        <f t="shared" ca="1" si="3"/>
        <v>#NAME?</v>
      </c>
      <c r="L331" s="1325">
        <f ca="1">+IFERROR(VLOOKUP(I331,'Factores Emisión EDGE'!$K$267:$L$272,2,0),0)</f>
        <v>0</v>
      </c>
      <c r="M331" s="1325" t="e">
        <f t="shared" ca="1" si="4"/>
        <v>#NAME?</v>
      </c>
      <c r="N331" s="486" t="s">
        <v>3043</v>
      </c>
      <c r="O331" s="1312"/>
      <c r="P331" s="1312"/>
    </row>
    <row r="332" spans="1:16" ht="15.75" customHeight="1">
      <c r="A332" s="1314">
        <v>44929.488361759257</v>
      </c>
      <c r="B332" s="1310" t="s">
        <v>3514</v>
      </c>
      <c r="C332" s="1310" t="s">
        <v>2020</v>
      </c>
      <c r="D332" s="1310" t="s">
        <v>3063</v>
      </c>
      <c r="E332" s="1310" t="s">
        <v>3042</v>
      </c>
      <c r="F332" s="1310" t="s">
        <v>863</v>
      </c>
      <c r="G332" s="1326">
        <v>10</v>
      </c>
      <c r="H332" s="486" t="e">
        <f t="array" aca="1" ref="H332" ca="1">+_xludf.IFS(E332="100% Presencial",1, E332="20% Teletrabajo (4 días a la semana)",0.8,E332="40% Teletrabajo (3 días a la semana)",0.6,E332="60% Teletrabajo (2 días a la semana)",0.4,E332="80% Teletrabajo (1 día a la semana)",0.2,E332="100% Teletrabajo",0)</f>
        <v>#NAME?</v>
      </c>
      <c r="I332" s="486" t="e">
        <f t="array" aca="1" ref="I332" ca="1">+_xludf.IFS(F332="Vehículo - Uso individual","Auto",F332="Vehículo - Uso compartido","Auto",F332="Transporte público/bus de acercamiento","Bus",F332="Moto","Moto",F332="Bicicleta o caminando","Bicicleta",F332="Ninguno, pues realicé 100% teletrabajo","No aplica",F332="Moto eléctrica","Moto eléctrica",F332="Vehículo eléctrico - Uso Individual","Vehículo eléctrico",F332="Vehículo eléctrico - Uso Compartido","Vehículo eléctrico")</f>
        <v>#NAME?</v>
      </c>
      <c r="J332" s="486">
        <v>1</v>
      </c>
      <c r="K332" s="1324" t="e">
        <f t="shared" ca="1" si="3"/>
        <v>#NAME?</v>
      </c>
      <c r="L332" s="1325">
        <f ca="1">+IFERROR(VLOOKUP(I332,'Factores Emisión EDGE'!$K$267:$L$272,2,0),0)</f>
        <v>0</v>
      </c>
      <c r="M332" s="1325" t="e">
        <f t="shared" ca="1" si="4"/>
        <v>#NAME?</v>
      </c>
      <c r="N332" s="486" t="s">
        <v>3043</v>
      </c>
      <c r="O332" s="1312"/>
      <c r="P332" s="1312"/>
    </row>
    <row r="333" spans="1:16" ht="15.75" customHeight="1">
      <c r="A333" s="1314">
        <v>44929.500869097217</v>
      </c>
      <c r="B333" s="1310" t="s">
        <v>3515</v>
      </c>
      <c r="C333" s="1310" t="s">
        <v>2619</v>
      </c>
      <c r="D333" s="1310" t="s">
        <v>3083</v>
      </c>
      <c r="E333" s="1310" t="s">
        <v>3042</v>
      </c>
      <c r="F333" s="1310" t="s">
        <v>1952</v>
      </c>
      <c r="G333" s="1326">
        <v>10</v>
      </c>
      <c r="H333" s="486" t="e">
        <f t="array" aca="1" ref="H333" ca="1">+_xludf.IFS(E333="100% Presencial",1, E333="20% Teletrabajo (4 días a la semana)",0.8,E333="40% Teletrabajo (3 días a la semana)",0.6,E333="60% Teletrabajo (2 días a la semana)",0.4,E333="80% Teletrabajo (1 día a la semana)",0.2,E333="100% Teletrabajo",0)</f>
        <v>#NAME?</v>
      </c>
      <c r="I333" s="486" t="e">
        <f t="array" aca="1" ref="I333" ca="1">+_xludf.IFS(F333="Vehículo - Uso individual","Auto",F333="Vehículo - Uso compartido","Auto",F333="Transporte público/bus de acercamiento","Bus",F333="Moto","Moto",F333="Bicicleta o caminando","Bicicleta",F333="Ninguno, pues realicé 100% teletrabajo","No aplica",F333="Moto eléctrica","Moto eléctrica",F333="Vehículo eléctrico - Uso Individual","Vehículo eléctrico",F333="Vehículo eléctrico - Uso Compartido","Vehículo eléctrico")</f>
        <v>#NAME?</v>
      </c>
      <c r="J333" s="486">
        <v>1</v>
      </c>
      <c r="K333" s="1324" t="e">
        <f t="shared" ca="1" si="3"/>
        <v>#NAME?</v>
      </c>
      <c r="L333" s="1325">
        <f ca="1">+IFERROR(VLOOKUP(I333,'Factores Emisión EDGE'!$K$267:$L$272,2,0),0)</f>
        <v>0</v>
      </c>
      <c r="M333" s="1325" t="e">
        <f t="shared" ca="1" si="4"/>
        <v>#NAME?</v>
      </c>
      <c r="N333" s="486" t="s">
        <v>3043</v>
      </c>
      <c r="O333" s="1312"/>
      <c r="P333" s="1312"/>
    </row>
    <row r="334" spans="1:16" ht="15.75" customHeight="1">
      <c r="A334" s="1314">
        <v>44929.502691527778</v>
      </c>
      <c r="B334" s="1310" t="s">
        <v>3516</v>
      </c>
      <c r="C334" s="1310" t="s">
        <v>3517</v>
      </c>
      <c r="D334" s="1310" t="s">
        <v>3083</v>
      </c>
      <c r="E334" s="1310" t="s">
        <v>3042</v>
      </c>
      <c r="F334" s="1310" t="s">
        <v>1952</v>
      </c>
      <c r="G334" s="1326">
        <v>10</v>
      </c>
      <c r="H334" s="486" t="e">
        <f t="array" aca="1" ref="H334" ca="1">+_xludf.IFS(E334="100% Presencial",1, E334="20% Teletrabajo (4 días a la semana)",0.8,E334="40% Teletrabajo (3 días a la semana)",0.6,E334="60% Teletrabajo (2 días a la semana)",0.4,E334="80% Teletrabajo (1 día a la semana)",0.2,E334="100% Teletrabajo",0)</f>
        <v>#NAME?</v>
      </c>
      <c r="I334" s="486" t="e">
        <f t="array" aca="1" ref="I334" ca="1">+_xludf.IFS(F334="Vehículo - Uso individual","Auto",F334="Vehículo - Uso compartido","Auto",F334="Transporte público/bus de acercamiento","Bus",F334="Moto","Moto",F334="Bicicleta o caminando","Bicicleta",F334="Ninguno, pues realicé 100% teletrabajo","No aplica",F334="Moto eléctrica","Moto eléctrica",F334="Vehículo eléctrico - Uso Individual","Vehículo eléctrico",F334="Vehículo eléctrico - Uso Compartido","Vehículo eléctrico")</f>
        <v>#NAME?</v>
      </c>
      <c r="J334" s="486">
        <v>1</v>
      </c>
      <c r="K334" s="1324" t="e">
        <f t="shared" ca="1" si="3"/>
        <v>#NAME?</v>
      </c>
      <c r="L334" s="1325">
        <f ca="1">+IFERROR(VLOOKUP(I334,'Factores Emisión EDGE'!$K$267:$L$272,2,0),0)</f>
        <v>0</v>
      </c>
      <c r="M334" s="1325" t="e">
        <f t="shared" ca="1" si="4"/>
        <v>#NAME?</v>
      </c>
      <c r="N334" s="486" t="s">
        <v>3043</v>
      </c>
      <c r="O334" s="1312"/>
      <c r="P334" s="1312"/>
    </row>
    <row r="335" spans="1:16" ht="15.75" customHeight="1">
      <c r="A335" s="1314">
        <v>44929.504423090279</v>
      </c>
      <c r="B335" s="1310" t="s">
        <v>3518</v>
      </c>
      <c r="C335" s="1310" t="s">
        <v>3519</v>
      </c>
      <c r="D335" s="1310" t="s">
        <v>3083</v>
      </c>
      <c r="E335" s="1310" t="s">
        <v>3042</v>
      </c>
      <c r="F335" s="1310" t="s">
        <v>1952</v>
      </c>
      <c r="G335" s="1326">
        <v>10</v>
      </c>
      <c r="H335" s="486" t="e">
        <f t="array" aca="1" ref="H335" ca="1">+_xludf.IFS(E335="100% Presencial",1, E335="20% Teletrabajo (4 días a la semana)",0.8,E335="40% Teletrabajo (3 días a la semana)",0.6,E335="60% Teletrabajo (2 días a la semana)",0.4,E335="80% Teletrabajo (1 día a la semana)",0.2,E335="100% Teletrabajo",0)</f>
        <v>#NAME?</v>
      </c>
      <c r="I335" s="486" t="e">
        <f t="array" aca="1" ref="I335" ca="1">+_xludf.IFS(F335="Vehículo - Uso individual","Auto",F335="Vehículo - Uso compartido","Auto",F335="Transporte público/bus de acercamiento","Bus",F335="Moto","Moto",F335="Bicicleta o caminando","Bicicleta",F335="Ninguno, pues realicé 100% teletrabajo","No aplica",F335="Moto eléctrica","Moto eléctrica",F335="Vehículo eléctrico - Uso Individual","Vehículo eléctrico",F335="Vehículo eléctrico - Uso Compartido","Vehículo eléctrico")</f>
        <v>#NAME?</v>
      </c>
      <c r="J335" s="486">
        <v>1</v>
      </c>
      <c r="K335" s="1324" t="e">
        <f t="shared" ca="1" si="3"/>
        <v>#NAME?</v>
      </c>
      <c r="L335" s="1325">
        <f ca="1">+IFERROR(VLOOKUP(I335,'Factores Emisión EDGE'!$K$267:$L$272,2,0),0)</f>
        <v>0</v>
      </c>
      <c r="M335" s="1325" t="e">
        <f t="shared" ca="1" si="4"/>
        <v>#NAME?</v>
      </c>
      <c r="N335" s="486" t="s">
        <v>3043</v>
      </c>
      <c r="O335" s="1312"/>
      <c r="P335" s="1312"/>
    </row>
    <row r="336" spans="1:16" ht="15.75" customHeight="1">
      <c r="A336" s="1314">
        <v>44929.509588171291</v>
      </c>
      <c r="B336" s="1310" t="s">
        <v>2089</v>
      </c>
      <c r="C336" s="1310" t="s">
        <v>2090</v>
      </c>
      <c r="D336" s="1310" t="s">
        <v>3107</v>
      </c>
      <c r="E336" s="1310" t="s">
        <v>3042</v>
      </c>
      <c r="F336" s="1310" t="s">
        <v>3055</v>
      </c>
      <c r="G336" s="1326">
        <v>10</v>
      </c>
      <c r="H336" s="486" t="e">
        <f t="array" aca="1" ref="H336" ca="1">+_xludf.IFS(E336="100% Presencial",1, E336="20% Teletrabajo (4 días a la semana)",0.8,E336="40% Teletrabajo (3 días a la semana)",0.6,E336="60% Teletrabajo (2 días a la semana)",0.4,E336="80% Teletrabajo (1 día a la semana)",0.2,E336="100% Teletrabajo",0)</f>
        <v>#NAME?</v>
      </c>
      <c r="I336" s="486" t="e">
        <f t="array" aca="1" ref="I336" ca="1">+_xludf.IFS(F336="Vehículo - Uso individual","Auto",F336="Vehículo - Uso compartido","Auto",F336="Transporte público/bus de acercamiento","Bus",F336="Moto","Moto",F336="Bicicleta o caminando","Bicicleta",F336="Ninguno, pues realicé 100% teletrabajo","No aplica",F336="Moto eléctrica","Moto eléctrica",F336="Vehículo eléctrico - Uso Individual","Vehículo eléctrico",F336="Vehículo eléctrico - Uso Compartido","Vehículo eléctrico")</f>
        <v>#NAME?</v>
      </c>
      <c r="J336" s="486">
        <v>1</v>
      </c>
      <c r="K336" s="1324" t="e">
        <f t="shared" ca="1" si="3"/>
        <v>#NAME?</v>
      </c>
      <c r="L336" s="1325">
        <f ca="1">+IFERROR(VLOOKUP(I336,'Factores Emisión EDGE'!$K$267:$L$272,2,0),0)</f>
        <v>0</v>
      </c>
      <c r="M336" s="1325" t="e">
        <f t="shared" ca="1" si="4"/>
        <v>#NAME?</v>
      </c>
      <c r="N336" s="486" t="s">
        <v>3043</v>
      </c>
      <c r="O336" s="1312"/>
      <c r="P336" s="1312"/>
    </row>
    <row r="337" spans="1:16" ht="15.75" customHeight="1">
      <c r="A337" s="1314">
        <v>44929.513942442129</v>
      </c>
      <c r="B337" s="1310" t="s">
        <v>3520</v>
      </c>
      <c r="C337" s="1310" t="s">
        <v>3521</v>
      </c>
      <c r="D337" s="1310" t="s">
        <v>3048</v>
      </c>
      <c r="E337" s="1310" t="s">
        <v>885</v>
      </c>
      <c r="F337" s="1310" t="s">
        <v>1952</v>
      </c>
      <c r="G337" s="1326">
        <v>10</v>
      </c>
      <c r="H337" s="486" t="e">
        <f t="array" aca="1" ref="H337" ca="1">+_xludf.IFS(E337="100% Presencial",1, E337="20% Teletrabajo (4 días a la semana)",0.8,E337="40% Teletrabajo (3 días a la semana)",0.6,E337="60% Teletrabajo (2 días a la semana)",0.4,E337="80% Teletrabajo (1 día a la semana)",0.2,E337="100% Teletrabajo",0)</f>
        <v>#NAME?</v>
      </c>
      <c r="I337" s="486" t="e">
        <f t="array" aca="1" ref="I337" ca="1">+_xludf.IFS(F337="Vehículo - Uso individual","Auto",F337="Vehículo - Uso compartido","Auto",F337="Transporte público/bus de acercamiento","Bus",F337="Moto","Moto",F337="Bicicleta o caminando","Bicicleta",F337="Ninguno, pues realicé 100% teletrabajo","No aplica",F337="Moto eléctrica","Moto eléctrica",F337="Vehículo eléctrico - Uso Individual","Vehículo eléctrico",F337="Vehículo eléctrico - Uso Compartido","Vehículo eléctrico")</f>
        <v>#NAME?</v>
      </c>
      <c r="J337" s="486">
        <v>1</v>
      </c>
      <c r="K337" s="1324" t="e">
        <f t="shared" ca="1" si="3"/>
        <v>#NAME?</v>
      </c>
      <c r="L337" s="1325">
        <f ca="1">+IFERROR(VLOOKUP(I337,'Factores Emisión EDGE'!$K$267:$L$272,2,0),0)</f>
        <v>0</v>
      </c>
      <c r="M337" s="1325" t="e">
        <f t="shared" ca="1" si="4"/>
        <v>#NAME?</v>
      </c>
      <c r="N337" s="486" t="s">
        <v>3043</v>
      </c>
      <c r="O337" s="1312"/>
      <c r="P337" s="1312"/>
    </row>
    <row r="338" spans="1:16" ht="15.75" customHeight="1">
      <c r="A338" s="1314">
        <v>44929.611037314811</v>
      </c>
      <c r="B338" s="1310" t="s">
        <v>3522</v>
      </c>
      <c r="C338" s="1310" t="s">
        <v>3523</v>
      </c>
      <c r="D338" s="1310" t="s">
        <v>3048</v>
      </c>
      <c r="E338" s="1310" t="s">
        <v>885</v>
      </c>
      <c r="F338" s="1310" t="s">
        <v>1952</v>
      </c>
      <c r="G338" s="1326">
        <v>10</v>
      </c>
      <c r="H338" s="486" t="e">
        <f t="array" aca="1" ref="H338" ca="1">+_xludf.IFS(E338="100% Presencial",1, E338="20% Teletrabajo (4 días a la semana)",0.8,E338="40% Teletrabajo (3 días a la semana)",0.6,E338="60% Teletrabajo (2 días a la semana)",0.4,E338="80% Teletrabajo (1 día a la semana)",0.2,E338="100% Teletrabajo",0)</f>
        <v>#NAME?</v>
      </c>
      <c r="I338" s="486" t="e">
        <f t="array" aca="1" ref="I338" ca="1">+_xludf.IFS(F338="Vehículo - Uso individual","Auto",F338="Vehículo - Uso compartido","Auto",F338="Transporte público/bus de acercamiento","Bus",F338="Moto","Moto",F338="Bicicleta o caminando","Bicicleta",F338="Ninguno, pues realicé 100% teletrabajo","No aplica",F338="Moto eléctrica","Moto eléctrica",F338="Vehículo eléctrico - Uso Individual","Vehículo eléctrico",F338="Vehículo eléctrico - Uso Compartido","Vehículo eléctrico")</f>
        <v>#NAME?</v>
      </c>
      <c r="J338" s="486">
        <v>1</v>
      </c>
      <c r="K338" s="1324" t="e">
        <f t="shared" ca="1" si="3"/>
        <v>#NAME?</v>
      </c>
      <c r="L338" s="1325">
        <f ca="1">+IFERROR(VLOOKUP(I338,'Factores Emisión EDGE'!$K$267:$L$272,2,0),0)</f>
        <v>0</v>
      </c>
      <c r="M338" s="1325" t="e">
        <f t="shared" ca="1" si="4"/>
        <v>#NAME?</v>
      </c>
      <c r="N338" s="486" t="s">
        <v>3043</v>
      </c>
      <c r="O338" s="1312"/>
      <c r="P338" s="1312"/>
    </row>
    <row r="339" spans="1:16" ht="15.75" customHeight="1">
      <c r="A339" s="1314">
        <v>44929.646111018519</v>
      </c>
      <c r="B339" s="1310" t="s">
        <v>3524</v>
      </c>
      <c r="C339" s="1310" t="s">
        <v>2377</v>
      </c>
      <c r="D339" s="1310" t="s">
        <v>3107</v>
      </c>
      <c r="E339" s="1310" t="s">
        <v>883</v>
      </c>
      <c r="F339" s="1310" t="s">
        <v>1952</v>
      </c>
      <c r="G339" s="1326">
        <v>10</v>
      </c>
      <c r="H339" s="486" t="e">
        <f t="array" aca="1" ref="H339" ca="1">+_xludf.IFS(E339="100% Presencial",1, E339="20% Teletrabajo (4 días a la semana)",0.8,E339="40% Teletrabajo (3 días a la semana)",0.6,E339="60% Teletrabajo (2 días a la semana)",0.4,E339="80% Teletrabajo (1 día a la semana)",0.2,E339="100% Teletrabajo",0)</f>
        <v>#NAME?</v>
      </c>
      <c r="I339" s="486" t="e">
        <f t="array" aca="1" ref="I339" ca="1">+_xludf.IFS(F339="Vehículo - Uso individual","Auto",F339="Vehículo - Uso compartido","Auto",F339="Transporte público/bus de acercamiento","Bus",F339="Moto","Moto",F339="Bicicleta o caminando","Bicicleta",F339="Ninguno, pues realicé 100% teletrabajo","No aplica",F339="Moto eléctrica","Moto eléctrica",F339="Vehículo eléctrico - Uso Individual","Vehículo eléctrico",F339="Vehículo eléctrico - Uso Compartido","Vehículo eléctrico")</f>
        <v>#NAME?</v>
      </c>
      <c r="J339" s="486">
        <v>1</v>
      </c>
      <c r="K339" s="1324" t="e">
        <f t="shared" ca="1" si="3"/>
        <v>#NAME?</v>
      </c>
      <c r="L339" s="1325">
        <f ca="1">+IFERROR(VLOOKUP(I339,'Factores Emisión EDGE'!$K$267:$L$272,2,0),0)</f>
        <v>0</v>
      </c>
      <c r="M339" s="1325" t="e">
        <f t="shared" ca="1" si="4"/>
        <v>#NAME?</v>
      </c>
      <c r="N339" s="486" t="s">
        <v>3043</v>
      </c>
      <c r="O339" s="1312"/>
      <c r="P339" s="1312"/>
    </row>
    <row r="340" spans="1:16" ht="15.75" customHeight="1">
      <c r="A340" s="1314">
        <v>44929.669683842592</v>
      </c>
      <c r="B340" s="1310" t="s">
        <v>3525</v>
      </c>
      <c r="C340" s="1310" t="s">
        <v>2780</v>
      </c>
      <c r="D340" s="1310" t="s">
        <v>3048</v>
      </c>
      <c r="E340" s="1310" t="s">
        <v>3066</v>
      </c>
      <c r="F340" s="1310" t="s">
        <v>3055</v>
      </c>
      <c r="G340" s="1326">
        <v>10</v>
      </c>
      <c r="H340" s="486" t="e">
        <f t="array" aca="1" ref="H340" ca="1">+_xludf.IFS(E340="100% Presencial",1, E340="20% Teletrabajo (4 días a la semana)",0.8,E340="40% Teletrabajo (3 días a la semana)",0.6,E340="60% Teletrabajo (2 días a la semana)",0.4,E340="80% Teletrabajo (1 día a la semana)",0.2,E340="100% Teletrabajo",0)</f>
        <v>#NAME?</v>
      </c>
      <c r="I340" s="486" t="e">
        <f t="array" aca="1" ref="I340" ca="1">+_xludf.IFS(F340="Vehículo - Uso individual","Auto",F340="Vehículo - Uso compartido","Auto",F340="Transporte público/bus de acercamiento","Bus",F340="Moto","Moto",F340="Bicicleta o caminando","Bicicleta",F340="Ninguno, pues realicé 100% teletrabajo","No aplica",F340="Moto eléctrica","Moto eléctrica",F340="Vehículo eléctrico - Uso Individual","Vehículo eléctrico",F340="Vehículo eléctrico - Uso Compartido","Vehículo eléctrico")</f>
        <v>#NAME?</v>
      </c>
      <c r="J340" s="486">
        <v>1</v>
      </c>
      <c r="K340" s="1324" t="e">
        <f t="shared" ca="1" si="3"/>
        <v>#NAME?</v>
      </c>
      <c r="L340" s="1325">
        <f ca="1">+IFERROR(VLOOKUP(I340,'Factores Emisión EDGE'!$K$267:$L$272,2,0),0)</f>
        <v>0</v>
      </c>
      <c r="M340" s="1325" t="e">
        <f t="shared" ca="1" si="4"/>
        <v>#NAME?</v>
      </c>
      <c r="N340" s="486" t="s">
        <v>3043</v>
      </c>
      <c r="O340" s="1312"/>
      <c r="P340" s="1312"/>
    </row>
    <row r="341" spans="1:16" ht="15.75" customHeight="1">
      <c r="A341" s="1314">
        <v>44930.007287476852</v>
      </c>
      <c r="B341" s="1310" t="s">
        <v>3526</v>
      </c>
      <c r="C341" s="1310" t="s">
        <v>2694</v>
      </c>
      <c r="D341" s="1310" t="s">
        <v>3080</v>
      </c>
      <c r="E341" s="1310" t="s">
        <v>3042</v>
      </c>
      <c r="F341" s="1310" t="s">
        <v>1952</v>
      </c>
      <c r="G341" s="1326">
        <v>10</v>
      </c>
      <c r="H341" s="486" t="e">
        <f t="array" aca="1" ref="H341" ca="1">+_xludf.IFS(E341="100% Presencial",1, E341="20% Teletrabajo (4 días a la semana)",0.8,E341="40% Teletrabajo (3 días a la semana)",0.6,E341="60% Teletrabajo (2 días a la semana)",0.4,E341="80% Teletrabajo (1 día a la semana)",0.2,E341="100% Teletrabajo",0)</f>
        <v>#NAME?</v>
      </c>
      <c r="I341" s="486" t="e">
        <f t="array" aca="1" ref="I341" ca="1">+_xludf.IFS(F341="Vehículo - Uso individual","Auto",F341="Vehículo - Uso compartido","Auto",F341="Transporte público/bus de acercamiento","Bus",F341="Moto","Moto",F341="Bicicleta o caminando","Bicicleta",F341="Ninguno, pues realicé 100% teletrabajo","No aplica",F341="Moto eléctrica","Moto eléctrica",F341="Vehículo eléctrico - Uso Individual","Vehículo eléctrico",F341="Vehículo eléctrico - Uso Compartido","Vehículo eléctrico")</f>
        <v>#NAME?</v>
      </c>
      <c r="J341" s="486">
        <v>1</v>
      </c>
      <c r="K341" s="1324" t="e">
        <f t="shared" ca="1" si="3"/>
        <v>#NAME?</v>
      </c>
      <c r="L341" s="1325">
        <f ca="1">+IFERROR(VLOOKUP(I341,'Factores Emisión EDGE'!$K$267:$L$272,2,0),0)</f>
        <v>0</v>
      </c>
      <c r="M341" s="1325" t="e">
        <f t="shared" ca="1" si="4"/>
        <v>#NAME?</v>
      </c>
      <c r="N341" s="486" t="s">
        <v>3043</v>
      </c>
      <c r="O341" s="1312"/>
      <c r="P341" s="1312"/>
    </row>
    <row r="342" spans="1:16" ht="15.75" customHeight="1">
      <c r="A342" s="1314">
        <v>44930.450494247685</v>
      </c>
      <c r="B342" s="1310" t="s">
        <v>3527</v>
      </c>
      <c r="C342" s="1310" t="s">
        <v>3528</v>
      </c>
      <c r="D342" s="1310" t="s">
        <v>3048</v>
      </c>
      <c r="E342" s="1310" t="s">
        <v>3042</v>
      </c>
      <c r="F342" s="1310" t="s">
        <v>1952</v>
      </c>
      <c r="G342" s="1326">
        <v>10</v>
      </c>
      <c r="H342" s="486" t="e">
        <f t="array" aca="1" ref="H342" ca="1">+_xludf.IFS(E342="100% Presencial",1, E342="20% Teletrabajo (4 días a la semana)",0.8,E342="40% Teletrabajo (3 días a la semana)",0.6,E342="60% Teletrabajo (2 días a la semana)",0.4,E342="80% Teletrabajo (1 día a la semana)",0.2,E342="100% Teletrabajo",0)</f>
        <v>#NAME?</v>
      </c>
      <c r="I342" s="486" t="e">
        <f t="array" aca="1" ref="I342" ca="1">+_xludf.IFS(F342="Vehículo - Uso individual","Auto",F342="Vehículo - Uso compartido","Auto",F342="Transporte público/bus de acercamiento","Bus",F342="Moto","Moto",F342="Bicicleta o caminando","Bicicleta",F342="Ninguno, pues realicé 100% teletrabajo","No aplica",F342="Moto eléctrica","Moto eléctrica",F342="Vehículo eléctrico - Uso Individual","Vehículo eléctrico",F342="Vehículo eléctrico - Uso Compartido","Vehículo eléctrico")</f>
        <v>#NAME?</v>
      </c>
      <c r="J342" s="486">
        <v>1</v>
      </c>
      <c r="K342" s="1324" t="e">
        <f t="shared" ca="1" si="3"/>
        <v>#NAME?</v>
      </c>
      <c r="L342" s="1325">
        <f ca="1">+IFERROR(VLOOKUP(I342,'Factores Emisión EDGE'!$K$267:$L$272,2,0),0)</f>
        <v>0</v>
      </c>
      <c r="M342" s="1325" t="e">
        <f t="shared" ca="1" si="4"/>
        <v>#NAME?</v>
      </c>
      <c r="N342" s="486" t="s">
        <v>3056</v>
      </c>
      <c r="O342" s="1312"/>
      <c r="P342" s="1312"/>
    </row>
    <row r="343" spans="1:16" ht="15.75" customHeight="1">
      <c r="A343" s="1314">
        <v>44930.455509664353</v>
      </c>
      <c r="B343" s="1310" t="s">
        <v>3529</v>
      </c>
      <c r="C343" s="1310" t="s">
        <v>3530</v>
      </c>
      <c r="D343" s="1310" t="s">
        <v>3054</v>
      </c>
      <c r="E343" s="1310" t="s">
        <v>3042</v>
      </c>
      <c r="F343" s="1310" t="s">
        <v>1995</v>
      </c>
      <c r="G343" s="1326">
        <v>10</v>
      </c>
      <c r="H343" s="486" t="e">
        <f t="array" aca="1" ref="H343" ca="1">+_xludf.IFS(E343="100% Presencial",1, E343="20% Teletrabajo (4 días a la semana)",0.8,E343="40% Teletrabajo (3 días a la semana)",0.6,E343="60% Teletrabajo (2 días a la semana)",0.4,E343="80% Teletrabajo (1 día a la semana)",0.2,E343="100% Teletrabajo",0)</f>
        <v>#NAME?</v>
      </c>
      <c r="I343" s="486" t="e">
        <f t="array" aca="1" ref="I343" ca="1">+_xludf.IFS(F343="Vehículo - Uso individual","Auto",F343="Vehículo - Uso compartido","Auto",F343="Transporte público/bus de acercamiento","Bus",F343="Moto","Moto",F343="Bicicleta o caminando","Bicicleta",F343="Ninguno, pues realicé 100% teletrabajo","No aplica",F343="Moto eléctrica","Moto eléctrica",F343="Vehículo eléctrico - Uso Individual","Vehículo eléctrico",F343="Vehículo eléctrico - Uso Compartido","Vehículo eléctrico")</f>
        <v>#NAME?</v>
      </c>
      <c r="J343" s="486">
        <v>0.25</v>
      </c>
      <c r="K343" s="1324" t="e">
        <f t="shared" ca="1" si="3"/>
        <v>#NAME?</v>
      </c>
      <c r="L343" s="1325">
        <f ca="1">+IFERROR(VLOOKUP(I343,'Factores Emisión EDGE'!$K$267:$L$272,2,0),0)</f>
        <v>0</v>
      </c>
      <c r="M343" s="1325" t="e">
        <f t="shared" ca="1" si="4"/>
        <v>#NAME?</v>
      </c>
      <c r="N343" s="486" t="s">
        <v>3056</v>
      </c>
      <c r="O343" s="1312"/>
      <c r="P343" s="1312"/>
    </row>
    <row r="344" spans="1:16" ht="15.75" customHeight="1">
      <c r="A344" s="1314">
        <v>44930.497560821765</v>
      </c>
      <c r="B344" s="1310" t="s">
        <v>3531</v>
      </c>
      <c r="C344" s="1310" t="s">
        <v>2366</v>
      </c>
      <c r="D344" s="1310" t="s">
        <v>3265</v>
      </c>
      <c r="E344" s="1310" t="s">
        <v>3042</v>
      </c>
      <c r="F344" s="1310" t="s">
        <v>3055</v>
      </c>
      <c r="G344" s="1326">
        <v>10</v>
      </c>
      <c r="H344" s="486" t="e">
        <f t="array" aca="1" ref="H344" ca="1">+_xludf.IFS(E344="100% Presencial",1, E344="20% Teletrabajo (4 días a la semana)",0.8,E344="40% Teletrabajo (3 días a la semana)",0.6,E344="60% Teletrabajo (2 días a la semana)",0.4,E344="80% Teletrabajo (1 día a la semana)",0.2,E344="100% Teletrabajo",0)</f>
        <v>#NAME?</v>
      </c>
      <c r="I344" s="486" t="e">
        <f t="array" aca="1" ref="I344" ca="1">+_xludf.IFS(F344="Vehículo - Uso individual","Auto",F344="Vehículo - Uso compartido","Auto",F344="Transporte público/bus de acercamiento","Bus",F344="Moto","Moto",F344="Bicicleta o caminando","Bicicleta",F344="Ninguno, pues realicé 100% teletrabajo","No aplica",F344="Moto eléctrica","Moto eléctrica",F344="Vehículo eléctrico - Uso Individual","Vehículo eléctrico",F344="Vehículo eléctrico - Uso Compartido","Vehículo eléctrico")</f>
        <v>#NAME?</v>
      </c>
      <c r="J344" s="486">
        <v>1</v>
      </c>
      <c r="K344" s="1324" t="e">
        <f t="shared" ca="1" si="3"/>
        <v>#NAME?</v>
      </c>
      <c r="L344" s="1325">
        <f ca="1">+IFERROR(VLOOKUP(I344,'Factores Emisión EDGE'!$K$267:$L$272,2,0),0)</f>
        <v>0</v>
      </c>
      <c r="M344" s="1325" t="e">
        <f t="shared" ca="1" si="4"/>
        <v>#NAME?</v>
      </c>
      <c r="N344" s="486" t="s">
        <v>3056</v>
      </c>
      <c r="O344" s="1312"/>
      <c r="P344" s="1312"/>
    </row>
    <row r="345" spans="1:16" ht="15.75" customHeight="1">
      <c r="A345" s="1314">
        <v>44932.416024675927</v>
      </c>
      <c r="B345" s="1310" t="s">
        <v>3532</v>
      </c>
      <c r="C345" s="1310" t="s">
        <v>3533</v>
      </c>
      <c r="D345" s="1310" t="s">
        <v>3048</v>
      </c>
      <c r="E345" s="1310" t="s">
        <v>3042</v>
      </c>
      <c r="F345" s="1310" t="s">
        <v>3055</v>
      </c>
      <c r="G345" s="1326">
        <v>10</v>
      </c>
      <c r="H345" s="486" t="e">
        <f t="array" aca="1" ref="H345" ca="1">+_xludf.IFS(E345="100% Presencial",1, E345="20% Teletrabajo (4 días a la semana)",0.8,E345="40% Teletrabajo (3 días a la semana)",0.6,E345="60% Teletrabajo (2 días a la semana)",0.4,E345="80% Teletrabajo (1 día a la semana)",0.2,E345="100% Teletrabajo",0)</f>
        <v>#NAME?</v>
      </c>
      <c r="I345" s="486" t="e">
        <f t="array" aca="1" ref="I345" ca="1">+_xludf.IFS(F345="Vehículo - Uso individual","Auto",F345="Vehículo - Uso compartido","Auto",F345="Transporte público/bus de acercamiento","Bus",F345="Moto","Moto",F345="Bicicleta o caminando","Bicicleta",F345="Ninguno, pues realicé 100% teletrabajo","No aplica",F345="Moto eléctrica","Moto eléctrica",F345="Vehículo eléctrico - Uso Individual","Vehículo eléctrico",F345="Vehículo eléctrico - Uso Compartido","Vehículo eléctrico")</f>
        <v>#NAME?</v>
      </c>
      <c r="J345" s="486">
        <v>1</v>
      </c>
      <c r="K345" s="1324" t="e">
        <f t="shared" ca="1" si="3"/>
        <v>#NAME?</v>
      </c>
      <c r="L345" s="1325">
        <f ca="1">+IFERROR(VLOOKUP(I345,'Factores Emisión EDGE'!$K$267:$L$272,2,0),0)</f>
        <v>0</v>
      </c>
      <c r="M345" s="1325" t="e">
        <f t="shared" ca="1" si="4"/>
        <v>#NAME?</v>
      </c>
      <c r="N345" s="486" t="s">
        <v>3056</v>
      </c>
      <c r="O345" s="1312"/>
      <c r="P345" s="1312"/>
    </row>
    <row r="346" spans="1:16" ht="15.75" customHeight="1">
      <c r="A346" s="1314">
        <v>44937.394889930554</v>
      </c>
      <c r="B346" s="1310" t="s">
        <v>2557</v>
      </c>
      <c r="C346" s="1310" t="s">
        <v>2558</v>
      </c>
      <c r="D346" s="1310" t="s">
        <v>3048</v>
      </c>
      <c r="E346" s="1310" t="s">
        <v>883</v>
      </c>
      <c r="F346" s="1310" t="s">
        <v>1952</v>
      </c>
      <c r="G346" s="1326">
        <v>10</v>
      </c>
      <c r="H346" s="486" t="e">
        <f t="array" aca="1" ref="H346" ca="1">+_xludf.IFS(E346="100% Presencial",1, E346="20% Teletrabajo (4 días a la semana)",0.8,E346="40% Teletrabajo (3 días a la semana)",0.6,E346="60% Teletrabajo (2 días a la semana)",0.4,E346="80% Teletrabajo (1 día a la semana)",0.2,E346="100% Teletrabajo",0)</f>
        <v>#NAME?</v>
      </c>
      <c r="I346" s="486" t="e">
        <f t="array" aca="1" ref="I346" ca="1">+_xludf.IFS(F346="Vehículo - Uso individual","Auto",F346="Vehículo - Uso compartido","Auto",F346="Transporte público/bus de acercamiento","Bus",F346="Moto","Moto",F346="Bicicleta o caminando","Bicicleta",F346="Ninguno, pues realicé 100% teletrabajo","No aplica",F346="Moto eléctrica","Moto eléctrica",F346="Vehículo eléctrico - Uso Individual","Vehículo eléctrico",F346="Vehículo eléctrico - Uso Compartido","Vehículo eléctrico")</f>
        <v>#NAME?</v>
      </c>
      <c r="J346" s="486">
        <v>1</v>
      </c>
      <c r="K346" s="1324" t="e">
        <f t="shared" ca="1" si="3"/>
        <v>#NAME?</v>
      </c>
      <c r="L346" s="1325">
        <f ca="1">+IFERROR(VLOOKUP(I346,'Factores Emisión EDGE'!$K$267:$L$272,2,0),0)</f>
        <v>0</v>
      </c>
      <c r="M346" s="1325" t="e">
        <f t="shared" ca="1" si="4"/>
        <v>#NAME?</v>
      </c>
      <c r="N346" s="486" t="s">
        <v>3043</v>
      </c>
      <c r="O346" s="1312"/>
      <c r="P346" s="1312"/>
    </row>
    <row r="347" spans="1:16" ht="15.75" customHeight="1">
      <c r="A347" s="1314">
        <v>44938.545228541669</v>
      </c>
      <c r="B347" s="1310" t="s">
        <v>3534</v>
      </c>
      <c r="C347" s="1310" t="s">
        <v>3535</v>
      </c>
      <c r="D347" s="1310" t="s">
        <v>3048</v>
      </c>
      <c r="E347" s="1310" t="s">
        <v>3042</v>
      </c>
      <c r="F347" s="1310" t="s">
        <v>1952</v>
      </c>
      <c r="G347" s="1326">
        <v>10</v>
      </c>
      <c r="H347" s="486" t="e">
        <f t="array" aca="1" ref="H347" ca="1">+_xludf.IFS(E347="100% Presencial",1, E347="20% Teletrabajo (4 días a la semana)",0.8,E347="40% Teletrabajo (3 días a la semana)",0.6,E347="60% Teletrabajo (2 días a la semana)",0.4,E347="80% Teletrabajo (1 día a la semana)",0.2,E347="100% Teletrabajo",0)</f>
        <v>#NAME?</v>
      </c>
      <c r="I347" s="486" t="e">
        <f t="array" aca="1" ref="I347" ca="1">+_xludf.IFS(F347="Vehículo - Uso individual","Auto",F347="Vehículo - Uso compartido","Auto",F347="Transporte público/bus de acercamiento","Bus",F347="Moto","Moto",F347="Bicicleta o caminando","Bicicleta",F347="Ninguno, pues realicé 100% teletrabajo","No aplica",F347="Moto eléctrica","Moto eléctrica",F347="Vehículo eléctrico - Uso Individual","Vehículo eléctrico",F347="Vehículo eléctrico - Uso Compartido","Vehículo eléctrico")</f>
        <v>#NAME?</v>
      </c>
      <c r="J347" s="486">
        <v>1</v>
      </c>
      <c r="K347" s="1324" t="e">
        <f t="shared" ca="1" si="3"/>
        <v>#NAME?</v>
      </c>
      <c r="L347" s="1325">
        <f ca="1">+IFERROR(VLOOKUP(I347,'Factores Emisión EDGE'!$K$267:$L$272,2,0),0)</f>
        <v>0</v>
      </c>
      <c r="M347" s="1325" t="e">
        <f t="shared" ca="1" si="4"/>
        <v>#NAME?</v>
      </c>
      <c r="N347" s="486" t="s">
        <v>3056</v>
      </c>
      <c r="O347" s="1312"/>
      <c r="P347" s="1312"/>
    </row>
    <row r="348" spans="1:16" ht="15.75" customHeight="1">
      <c r="A348" s="1314">
        <v>44938.55081291667</v>
      </c>
      <c r="B348" s="1310" t="s">
        <v>3536</v>
      </c>
      <c r="C348" s="1310" t="s">
        <v>3537</v>
      </c>
      <c r="D348" s="1310" t="s">
        <v>3048</v>
      </c>
      <c r="E348" s="1310" t="s">
        <v>3042</v>
      </c>
      <c r="F348" s="1310" t="s">
        <v>1952</v>
      </c>
      <c r="G348" s="1326">
        <v>10</v>
      </c>
      <c r="H348" s="486" t="e">
        <f t="array" aca="1" ref="H348" ca="1">+_xludf.IFS(E348="100% Presencial",1, E348="20% Teletrabajo (4 días a la semana)",0.8,E348="40% Teletrabajo (3 días a la semana)",0.6,E348="60% Teletrabajo (2 días a la semana)",0.4,E348="80% Teletrabajo (1 día a la semana)",0.2,E348="100% Teletrabajo",0)</f>
        <v>#NAME?</v>
      </c>
      <c r="I348" s="486" t="e">
        <f t="array" aca="1" ref="I348" ca="1">+_xludf.IFS(F348="Vehículo - Uso individual","Auto",F348="Vehículo - Uso compartido","Auto",F348="Transporte público/bus de acercamiento","Bus",F348="Moto","Moto",F348="Bicicleta o caminando","Bicicleta",F348="Ninguno, pues realicé 100% teletrabajo","No aplica",F348="Moto eléctrica","Moto eléctrica",F348="Vehículo eléctrico - Uso Individual","Vehículo eléctrico",F348="Vehículo eléctrico - Uso Compartido","Vehículo eléctrico")</f>
        <v>#NAME?</v>
      </c>
      <c r="J348" s="486">
        <v>1</v>
      </c>
      <c r="K348" s="1324" t="e">
        <f t="shared" ca="1" si="3"/>
        <v>#NAME?</v>
      </c>
      <c r="L348" s="1325">
        <f ca="1">+IFERROR(VLOOKUP(I348,'Factores Emisión EDGE'!$K$267:$L$272,2,0),0)</f>
        <v>0</v>
      </c>
      <c r="M348" s="1325" t="e">
        <f t="shared" ca="1" si="4"/>
        <v>#NAME?</v>
      </c>
      <c r="N348" s="486" t="s">
        <v>3056</v>
      </c>
      <c r="O348" s="1312"/>
      <c r="P348" s="1312"/>
    </row>
    <row r="349" spans="1:16" ht="15.75" customHeight="1">
      <c r="A349" s="1314">
        <v>44938.561926192131</v>
      </c>
      <c r="B349" s="1310" t="s">
        <v>3538</v>
      </c>
      <c r="C349" s="1310" t="s">
        <v>3539</v>
      </c>
      <c r="D349" s="1310" t="s">
        <v>3080</v>
      </c>
      <c r="E349" s="1310" t="s">
        <v>3042</v>
      </c>
      <c r="F349" s="1310" t="s">
        <v>3055</v>
      </c>
      <c r="G349" s="1326">
        <v>10</v>
      </c>
      <c r="H349" s="486" t="e">
        <f t="array" aca="1" ref="H349" ca="1">+_xludf.IFS(E349="100% Presencial",1, E349="20% Teletrabajo (4 días a la semana)",0.8,E349="40% Teletrabajo (3 días a la semana)",0.6,E349="60% Teletrabajo (2 días a la semana)",0.4,E349="80% Teletrabajo (1 día a la semana)",0.2,E349="100% Teletrabajo",0)</f>
        <v>#NAME?</v>
      </c>
      <c r="I349" s="486" t="e">
        <f t="array" aca="1" ref="I349" ca="1">+_xludf.IFS(F349="Vehículo - Uso individual","Auto",F349="Vehículo - Uso compartido","Auto",F349="Transporte público/bus de acercamiento","Bus",F349="Moto","Moto",F349="Bicicleta o caminando","Bicicleta",F349="Ninguno, pues realicé 100% teletrabajo","No aplica",F349="Moto eléctrica","Moto eléctrica",F349="Vehículo eléctrico - Uso Individual","Vehículo eléctrico",F349="Vehículo eléctrico - Uso Compartido","Vehículo eléctrico")</f>
        <v>#NAME?</v>
      </c>
      <c r="J349" s="486">
        <v>1</v>
      </c>
      <c r="K349" s="1324" t="e">
        <f t="shared" ca="1" si="3"/>
        <v>#NAME?</v>
      </c>
      <c r="L349" s="1325">
        <f ca="1">+IFERROR(VLOOKUP(I349,'Factores Emisión EDGE'!$K$267:$L$272,2,0),0)</f>
        <v>0</v>
      </c>
      <c r="M349" s="1325" t="e">
        <f t="shared" ca="1" si="4"/>
        <v>#NAME?</v>
      </c>
      <c r="N349" s="486" t="s">
        <v>3056</v>
      </c>
      <c r="O349" s="1312"/>
      <c r="P349" s="1312"/>
    </row>
    <row r="350" spans="1:16" ht="15.75" customHeight="1">
      <c r="A350" s="1314">
        <v>44938.69250675926</v>
      </c>
      <c r="B350" s="1310" t="s">
        <v>3453</v>
      </c>
      <c r="C350" s="1310" t="s">
        <v>3454</v>
      </c>
      <c r="D350" s="1310" t="s">
        <v>3048</v>
      </c>
      <c r="E350" s="1310" t="s">
        <v>3042</v>
      </c>
      <c r="F350" s="1310" t="s">
        <v>1995</v>
      </c>
      <c r="G350" s="1326">
        <v>10</v>
      </c>
      <c r="H350" s="486" t="e">
        <f t="array" aca="1" ref="H350" ca="1">+_xludf.IFS(E350="100% Presencial",1, E350="20% Teletrabajo (4 días a la semana)",0.8,E350="40% Teletrabajo (3 días a la semana)",0.6,E350="60% Teletrabajo (2 días a la semana)",0.4,E350="80% Teletrabajo (1 día a la semana)",0.2,E350="100% Teletrabajo",0)</f>
        <v>#NAME?</v>
      </c>
      <c r="I350" s="486" t="e">
        <f t="array" aca="1" ref="I350" ca="1">+_xludf.IFS(F350="Vehículo - Uso individual","Auto",F350="Vehículo - Uso compartido","Auto",F350="Transporte público/bus de acercamiento","Bus",F350="Moto","Moto",F350="Bicicleta o caminando","Bicicleta",F350="Ninguno, pues realicé 100% teletrabajo","No aplica",F350="Moto eléctrica","Moto eléctrica",F350="Vehículo eléctrico - Uso Individual","Vehículo eléctrico",F350="Vehículo eléctrico - Uso Compartido","Vehículo eléctrico")</f>
        <v>#NAME?</v>
      </c>
      <c r="J350" s="486">
        <v>0.25</v>
      </c>
      <c r="K350" s="1324" t="e">
        <f t="shared" ca="1" si="3"/>
        <v>#NAME?</v>
      </c>
      <c r="L350" s="1325">
        <f ca="1">+IFERROR(VLOOKUP(I350,'Factores Emisión EDGE'!$K$267:$L$272,2,0),0)</f>
        <v>0</v>
      </c>
      <c r="M350" s="1325" t="e">
        <f t="shared" ca="1" si="4"/>
        <v>#NAME?</v>
      </c>
      <c r="N350" s="486" t="s">
        <v>3056</v>
      </c>
      <c r="O350" s="1312"/>
      <c r="P350" s="1312"/>
    </row>
    <row r="351" spans="1:16" ht="15.75" customHeight="1">
      <c r="A351" s="1314">
        <v>44938.785626168981</v>
      </c>
      <c r="B351" s="1310" t="s">
        <v>3540</v>
      </c>
      <c r="C351" s="1310" t="s">
        <v>3541</v>
      </c>
      <c r="D351" s="1310" t="s">
        <v>3107</v>
      </c>
      <c r="E351" s="1310" t="s">
        <v>3042</v>
      </c>
      <c r="F351" s="1310" t="s">
        <v>1952</v>
      </c>
      <c r="G351" s="1326">
        <v>10</v>
      </c>
      <c r="H351" s="486" t="e">
        <f t="array" aca="1" ref="H351" ca="1">+_xludf.IFS(E351="100% Presencial",1, E351="20% Teletrabajo (4 días a la semana)",0.8,E351="40% Teletrabajo (3 días a la semana)",0.6,E351="60% Teletrabajo (2 días a la semana)",0.4,E351="80% Teletrabajo (1 día a la semana)",0.2,E351="100% Teletrabajo",0)</f>
        <v>#NAME?</v>
      </c>
      <c r="I351" s="486" t="e">
        <f t="array" aca="1" ref="I351" ca="1">+_xludf.IFS(F351="Vehículo - Uso individual","Auto",F351="Vehículo - Uso compartido","Auto",F351="Transporte público/bus de acercamiento","Bus",F351="Moto","Moto",F351="Bicicleta o caminando","Bicicleta",F351="Ninguno, pues realicé 100% teletrabajo","No aplica",F351="Moto eléctrica","Moto eléctrica",F351="Vehículo eléctrico - Uso Individual","Vehículo eléctrico",F351="Vehículo eléctrico - Uso Compartido","Vehículo eléctrico")</f>
        <v>#NAME?</v>
      </c>
      <c r="J351" s="486">
        <v>1</v>
      </c>
      <c r="K351" s="1324" t="e">
        <f t="shared" ca="1" si="3"/>
        <v>#NAME?</v>
      </c>
      <c r="L351" s="1325">
        <f ca="1">+IFERROR(VLOOKUP(I351,'Factores Emisión EDGE'!$K$267:$L$272,2,0),0)</f>
        <v>0</v>
      </c>
      <c r="M351" s="1325" t="e">
        <f t="shared" ca="1" si="4"/>
        <v>#NAME?</v>
      </c>
      <c r="N351" s="486" t="s">
        <v>3056</v>
      </c>
      <c r="O351" s="1312"/>
      <c r="P351" s="1312"/>
    </row>
    <row r="352" spans="1:16" ht="15.75" customHeight="1">
      <c r="A352" s="1314">
        <v>44929.542483171295</v>
      </c>
      <c r="B352" s="1310" t="s">
        <v>3542</v>
      </c>
      <c r="C352" s="1310" t="s">
        <v>2153</v>
      </c>
      <c r="D352" s="1310" t="s">
        <v>3048</v>
      </c>
      <c r="E352" s="1310" t="s">
        <v>3049</v>
      </c>
      <c r="F352" s="1310" t="s">
        <v>3050</v>
      </c>
      <c r="G352" s="1326">
        <v>23</v>
      </c>
      <c r="H352" s="486" t="e">
        <f t="array" aca="1" ref="H352" ca="1">+_xludf.IFS(E352="100% Presencial",1, E352="20% Teletrabajo (4 días a la semana)",0.8,E352="40% Teletrabajo (3 días a la semana)",0.6,E352="60% Teletrabajo (2 días a la semana)",0.4,E352="80% Teletrabajo (1 día a la semana)",0.2,E352="100% Teletrabajo",0)</f>
        <v>#NAME?</v>
      </c>
      <c r="I352" s="486" t="e">
        <f t="array" aca="1" ref="I352" ca="1">+_xludf.IFS(F352="Vehículo - Uso individual","Auto",F352="Vehículo - Uso compartido","Auto",F352="Transporte público/bus de acercamiento","Bus",F352="Moto","Moto",F352="Bicicleta o caminando","Bicicleta",F352="Ninguno, pues realicé 100% teletrabajo","No aplica",F352="Moto eléctrica","Moto eléctrica",F352="Vehículo eléctrico - Uso Individual","Vehículo eléctrico",F352="Vehículo eléctrico - Uso Compartido","Vehículo eléctrico")</f>
        <v>#NAME?</v>
      </c>
      <c r="J352" s="486">
        <v>1</v>
      </c>
      <c r="K352" s="1324" t="e">
        <f t="shared" ca="1" si="3"/>
        <v>#NAME?</v>
      </c>
      <c r="L352" s="1325">
        <f ca="1">+IFERROR(VLOOKUP(I352,'Factores Emisión EDGE'!$K$267:$L$272,2,0),0)</f>
        <v>0</v>
      </c>
      <c r="M352" s="1325" t="e">
        <f t="shared" ca="1" si="4"/>
        <v>#NAME?</v>
      </c>
      <c r="N352" s="486" t="s">
        <v>3043</v>
      </c>
      <c r="O352" s="1312"/>
      <c r="P352" s="1312"/>
    </row>
    <row r="353" spans="1:16" ht="15.75" customHeight="1">
      <c r="A353" s="1314">
        <v>44938.906863541662</v>
      </c>
      <c r="B353" s="1310" t="s">
        <v>3543</v>
      </c>
      <c r="C353" s="1310" t="s">
        <v>3544</v>
      </c>
      <c r="D353" s="1310" t="s">
        <v>3083</v>
      </c>
      <c r="E353" s="1310" t="s">
        <v>3042</v>
      </c>
      <c r="F353" s="1310" t="s">
        <v>1952</v>
      </c>
      <c r="G353" s="1326">
        <v>10</v>
      </c>
      <c r="H353" s="486" t="e">
        <f t="array" aca="1" ref="H353" ca="1">+_xludf.IFS(E353="100% Presencial",1, E353="20% Teletrabajo (4 días a la semana)",0.8,E353="40% Teletrabajo (3 días a la semana)",0.6,E353="60% Teletrabajo (2 días a la semana)",0.4,E353="80% Teletrabajo (1 día a la semana)",0.2,E353="100% Teletrabajo",0)</f>
        <v>#NAME?</v>
      </c>
      <c r="I353" s="486" t="e">
        <f t="array" aca="1" ref="I353" ca="1">+_xludf.IFS(F353="Vehículo - Uso individual","Auto",F353="Vehículo - Uso compartido","Auto",F353="Transporte público/bus de acercamiento","Bus",F353="Moto","Moto",F353="Bicicleta o caminando","Bicicleta",F353="Ninguno, pues realicé 100% teletrabajo","No aplica",F353="Moto eléctrica","Moto eléctrica",F353="Vehículo eléctrico - Uso Individual","Vehículo eléctrico",F353="Vehículo eléctrico - Uso Compartido","Vehículo eléctrico")</f>
        <v>#NAME?</v>
      </c>
      <c r="J353" s="486">
        <v>1</v>
      </c>
      <c r="K353" s="1324" t="e">
        <f t="shared" ca="1" si="3"/>
        <v>#NAME?</v>
      </c>
      <c r="L353" s="1325">
        <f ca="1">+IFERROR(VLOOKUP(I353,'Factores Emisión EDGE'!$K$267:$L$272,2,0),0)</f>
        <v>0</v>
      </c>
      <c r="M353" s="1325" t="e">
        <f t="shared" ca="1" si="4"/>
        <v>#NAME?</v>
      </c>
      <c r="N353" s="486" t="s">
        <v>3056</v>
      </c>
      <c r="O353" s="1312"/>
      <c r="P353" s="1312"/>
    </row>
    <row r="354" spans="1:16" ht="15.75" customHeight="1">
      <c r="A354" s="1314">
        <v>44939.389513263886</v>
      </c>
      <c r="B354" s="1310" t="s">
        <v>3545</v>
      </c>
      <c r="C354" s="1310" t="s">
        <v>3546</v>
      </c>
      <c r="D354" s="1310" t="s">
        <v>3048</v>
      </c>
      <c r="E354" s="1310" t="s">
        <v>3042</v>
      </c>
      <c r="F354" s="1310" t="s">
        <v>1952</v>
      </c>
      <c r="G354" s="1326">
        <v>10</v>
      </c>
      <c r="H354" s="486" t="e">
        <f t="array" aca="1" ref="H354" ca="1">+_xludf.IFS(E354="100% Presencial",1, E354="20% Teletrabajo (4 días a la semana)",0.8,E354="40% Teletrabajo (3 días a la semana)",0.6,E354="60% Teletrabajo (2 días a la semana)",0.4,E354="80% Teletrabajo (1 día a la semana)",0.2,E354="100% Teletrabajo",0)</f>
        <v>#NAME?</v>
      </c>
      <c r="I354" s="486" t="e">
        <f t="array" aca="1" ref="I354" ca="1">+_xludf.IFS(F354="Vehículo - Uso individual","Auto",F354="Vehículo - Uso compartido","Auto",F354="Transporte público/bus de acercamiento","Bus",F354="Moto","Moto",F354="Bicicleta o caminando","Bicicleta",F354="Ninguno, pues realicé 100% teletrabajo","No aplica",F354="Moto eléctrica","Moto eléctrica",F354="Vehículo eléctrico - Uso Individual","Vehículo eléctrico",F354="Vehículo eléctrico - Uso Compartido","Vehículo eléctrico")</f>
        <v>#NAME?</v>
      </c>
      <c r="J354" s="486">
        <v>1</v>
      </c>
      <c r="K354" s="1324" t="e">
        <f t="shared" ca="1" si="3"/>
        <v>#NAME?</v>
      </c>
      <c r="L354" s="1325">
        <f ca="1">+IFERROR(VLOOKUP(I354,'Factores Emisión EDGE'!$K$267:$L$272,2,0),0)</f>
        <v>0</v>
      </c>
      <c r="M354" s="1325" t="e">
        <f t="shared" ca="1" si="4"/>
        <v>#NAME?</v>
      </c>
      <c r="N354" s="486" t="s">
        <v>3043</v>
      </c>
      <c r="O354" s="1312"/>
      <c r="P354" s="1312"/>
    </row>
    <row r="355" spans="1:16" ht="15.75" customHeight="1">
      <c r="A355" s="1314">
        <v>44939.403077847222</v>
      </c>
      <c r="B355" s="1310" t="s">
        <v>2618</v>
      </c>
      <c r="C355" s="1310" t="s">
        <v>3547</v>
      </c>
      <c r="D355" s="1310" t="s">
        <v>3083</v>
      </c>
      <c r="E355" s="1310" t="s">
        <v>3042</v>
      </c>
      <c r="F355" s="1310" t="s">
        <v>1952</v>
      </c>
      <c r="G355" s="1326">
        <v>10</v>
      </c>
      <c r="H355" s="486" t="e">
        <f t="array" aca="1" ref="H355" ca="1">+_xludf.IFS(E355="100% Presencial",1, E355="20% Teletrabajo (4 días a la semana)",0.8,E355="40% Teletrabajo (3 días a la semana)",0.6,E355="60% Teletrabajo (2 días a la semana)",0.4,E355="80% Teletrabajo (1 día a la semana)",0.2,E355="100% Teletrabajo",0)</f>
        <v>#NAME?</v>
      </c>
      <c r="I355" s="486" t="e">
        <f t="array" aca="1" ref="I355" ca="1">+_xludf.IFS(F355="Vehículo - Uso individual","Auto",F355="Vehículo - Uso compartido","Auto",F355="Transporte público/bus de acercamiento","Bus",F355="Moto","Moto",F355="Bicicleta o caminando","Bicicleta",F355="Ninguno, pues realicé 100% teletrabajo","No aplica",F355="Moto eléctrica","Moto eléctrica",F355="Vehículo eléctrico - Uso Individual","Vehículo eléctrico",F355="Vehículo eléctrico - Uso Compartido","Vehículo eléctrico")</f>
        <v>#NAME?</v>
      </c>
      <c r="J355" s="486">
        <v>1</v>
      </c>
      <c r="K355" s="1324" t="e">
        <f t="shared" ca="1" si="3"/>
        <v>#NAME?</v>
      </c>
      <c r="L355" s="1325">
        <f ca="1">+IFERROR(VLOOKUP(I355,'Factores Emisión EDGE'!$K$267:$L$272,2,0),0)</f>
        <v>0</v>
      </c>
      <c r="M355" s="1325" t="e">
        <f t="shared" ca="1" si="4"/>
        <v>#NAME?</v>
      </c>
      <c r="N355" s="486" t="s">
        <v>3056</v>
      </c>
      <c r="O355" s="1312"/>
      <c r="P355" s="1312"/>
    </row>
    <row r="356" spans="1:16" ht="15.75" customHeight="1">
      <c r="A356" s="1314">
        <v>44939.411317233797</v>
      </c>
      <c r="B356" s="1310" t="s">
        <v>3548</v>
      </c>
      <c r="C356" s="1310" t="s">
        <v>3549</v>
      </c>
      <c r="D356" s="1310" t="s">
        <v>3048</v>
      </c>
      <c r="E356" s="1310" t="s">
        <v>3042</v>
      </c>
      <c r="F356" s="1310" t="s">
        <v>1952</v>
      </c>
      <c r="G356" s="1326">
        <v>10</v>
      </c>
      <c r="H356" s="486" t="e">
        <f t="array" aca="1" ref="H356" ca="1">+_xludf.IFS(E356="100% Presencial",1, E356="20% Teletrabajo (4 días a la semana)",0.8,E356="40% Teletrabajo (3 días a la semana)",0.6,E356="60% Teletrabajo (2 días a la semana)",0.4,E356="80% Teletrabajo (1 día a la semana)",0.2,E356="100% Teletrabajo",0)</f>
        <v>#NAME?</v>
      </c>
      <c r="I356" s="486" t="e">
        <f t="array" aca="1" ref="I356" ca="1">+_xludf.IFS(F356="Vehículo - Uso individual","Auto",F356="Vehículo - Uso compartido","Auto",F356="Transporte público/bus de acercamiento","Bus",F356="Moto","Moto",F356="Bicicleta o caminando","Bicicleta",F356="Ninguno, pues realicé 100% teletrabajo","No aplica",F356="Moto eléctrica","Moto eléctrica",F356="Vehículo eléctrico - Uso Individual","Vehículo eléctrico",F356="Vehículo eléctrico - Uso Compartido","Vehículo eléctrico")</f>
        <v>#NAME?</v>
      </c>
      <c r="J356" s="486">
        <v>1</v>
      </c>
      <c r="K356" s="1324" t="e">
        <f t="shared" ca="1" si="3"/>
        <v>#NAME?</v>
      </c>
      <c r="L356" s="1325">
        <f ca="1">+IFERROR(VLOOKUP(I356,'Factores Emisión EDGE'!$K$267:$L$272,2,0),0)</f>
        <v>0</v>
      </c>
      <c r="M356" s="1325" t="e">
        <f t="shared" ca="1" si="4"/>
        <v>#NAME?</v>
      </c>
      <c r="N356" s="486" t="s">
        <v>3043</v>
      </c>
      <c r="O356" s="1312"/>
      <c r="P356" s="1312"/>
    </row>
    <row r="357" spans="1:16" ht="15.75" customHeight="1">
      <c r="A357" s="1314">
        <v>44939.480634861116</v>
      </c>
      <c r="B357" s="1310" t="s">
        <v>2120</v>
      </c>
      <c r="C357" s="1310" t="s">
        <v>2121</v>
      </c>
      <c r="D357" s="1310" t="s">
        <v>3048</v>
      </c>
      <c r="E357" s="1310" t="s">
        <v>3049</v>
      </c>
      <c r="F357" s="1310" t="s">
        <v>1952</v>
      </c>
      <c r="G357" s="1326">
        <v>10</v>
      </c>
      <c r="H357" s="486" t="e">
        <f t="array" aca="1" ref="H357" ca="1">+_xludf.IFS(E357="100% Presencial",1, E357="20% Teletrabajo (4 días a la semana)",0.8,E357="40% Teletrabajo (3 días a la semana)",0.6,E357="60% Teletrabajo (2 días a la semana)",0.4,E357="80% Teletrabajo (1 día a la semana)",0.2,E357="100% Teletrabajo",0)</f>
        <v>#NAME?</v>
      </c>
      <c r="I357" s="486" t="e">
        <f t="array" aca="1" ref="I357" ca="1">+_xludf.IFS(F357="Vehículo - Uso individual","Auto",F357="Vehículo - Uso compartido","Auto",F357="Transporte público/bus de acercamiento","Bus",F357="Moto","Moto",F357="Bicicleta o caminando","Bicicleta",F357="Ninguno, pues realicé 100% teletrabajo","No aplica",F357="Moto eléctrica","Moto eléctrica",F357="Vehículo eléctrico - Uso Individual","Vehículo eléctrico",F357="Vehículo eléctrico - Uso Compartido","Vehículo eléctrico")</f>
        <v>#NAME?</v>
      </c>
      <c r="J357" s="486">
        <v>1</v>
      </c>
      <c r="K357" s="1324" t="e">
        <f t="shared" ca="1" si="3"/>
        <v>#NAME?</v>
      </c>
      <c r="L357" s="1325">
        <f ca="1">+IFERROR(VLOOKUP(I357,'Factores Emisión EDGE'!$K$267:$L$272,2,0),0)</f>
        <v>0</v>
      </c>
      <c r="M357" s="1325" t="e">
        <f t="shared" ca="1" si="4"/>
        <v>#NAME?</v>
      </c>
      <c r="N357" s="486" t="s">
        <v>3043</v>
      </c>
      <c r="O357" s="1312"/>
      <c r="P357" s="1312"/>
    </row>
    <row r="358" spans="1:16" ht="15.75" customHeight="1">
      <c r="A358" s="1314">
        <v>44939.483941192128</v>
      </c>
      <c r="B358" s="1310" t="s">
        <v>3550</v>
      </c>
      <c r="C358" s="1310" t="s">
        <v>3551</v>
      </c>
      <c r="D358" s="1310" t="s">
        <v>3048</v>
      </c>
      <c r="E358" s="1310" t="s">
        <v>3066</v>
      </c>
      <c r="F358" s="1310" t="s">
        <v>1983</v>
      </c>
      <c r="G358" s="1326">
        <v>10</v>
      </c>
      <c r="H358" s="486" t="e">
        <f t="array" aca="1" ref="H358" ca="1">+_xludf.IFS(E358="100% Presencial",1, E358="20% Teletrabajo (4 días a la semana)",0.8,E358="40% Teletrabajo (3 días a la semana)",0.6,E358="60% Teletrabajo (2 días a la semana)",0.4,E358="80% Teletrabajo (1 día a la semana)",0.2,E358="100% Teletrabajo",0)</f>
        <v>#NAME?</v>
      </c>
      <c r="I358" s="486" t="e">
        <f t="array" aca="1" ref="I358" ca="1">+_xludf.IFS(F358="Vehículo - Uso individual","Auto",F358="Vehículo - Uso compartido","Auto",F358="Transporte público/bus de acercamiento","Bus",F358="Moto","Moto",F358="Bicicleta o caminando","Bicicleta",F358="Ninguno, pues realicé 100% teletrabajo","No aplica",F358="Moto eléctrica","Moto eléctrica",F358="Vehículo eléctrico - Uso Individual","Vehículo eléctrico",F358="Vehículo eléctrico - Uso Compartido","Vehículo eléctrico")</f>
        <v>#NAME?</v>
      </c>
      <c r="J358" s="486">
        <v>1</v>
      </c>
      <c r="K358" s="1324" t="e">
        <f t="shared" ca="1" si="3"/>
        <v>#NAME?</v>
      </c>
      <c r="L358" s="1325">
        <f ca="1">+IFERROR(VLOOKUP(I358,'Factores Emisión EDGE'!$K$267:$L$272,2,0),0)</f>
        <v>0</v>
      </c>
      <c r="M358" s="1325" t="e">
        <f t="shared" ca="1" si="4"/>
        <v>#NAME?</v>
      </c>
      <c r="N358" s="486" t="s">
        <v>3043</v>
      </c>
      <c r="O358" s="1312"/>
      <c r="P358" s="1312"/>
    </row>
    <row r="359" spans="1:16" ht="15.75" customHeight="1">
      <c r="A359" s="1314">
        <v>44939.523793842593</v>
      </c>
      <c r="B359" s="1310" t="s">
        <v>2582</v>
      </c>
      <c r="C359" s="1310" t="s">
        <v>2583</v>
      </c>
      <c r="D359" s="1310" t="s">
        <v>3048</v>
      </c>
      <c r="E359" s="1310" t="s">
        <v>3066</v>
      </c>
      <c r="F359" s="1310" t="s">
        <v>1952</v>
      </c>
      <c r="G359" s="1326">
        <v>10</v>
      </c>
      <c r="H359" s="486" t="e">
        <f t="array" aca="1" ref="H359" ca="1">+_xludf.IFS(E359="100% Presencial",1, E359="20% Teletrabajo (4 días a la semana)",0.8,E359="40% Teletrabajo (3 días a la semana)",0.6,E359="60% Teletrabajo (2 días a la semana)",0.4,E359="80% Teletrabajo (1 día a la semana)",0.2,E359="100% Teletrabajo",0)</f>
        <v>#NAME?</v>
      </c>
      <c r="I359" s="486" t="e">
        <f t="array" aca="1" ref="I359" ca="1">+_xludf.IFS(F359="Vehículo - Uso individual","Auto",F359="Vehículo - Uso compartido","Auto",F359="Transporte público/bus de acercamiento","Bus",F359="Moto","Moto",F359="Bicicleta o caminando","Bicicleta",F359="Ninguno, pues realicé 100% teletrabajo","No aplica",F359="Moto eléctrica","Moto eléctrica",F359="Vehículo eléctrico - Uso Individual","Vehículo eléctrico",F359="Vehículo eléctrico - Uso Compartido","Vehículo eléctrico")</f>
        <v>#NAME?</v>
      </c>
      <c r="J359" s="486">
        <v>1</v>
      </c>
      <c r="K359" s="1324" t="e">
        <f t="shared" ca="1" si="3"/>
        <v>#NAME?</v>
      </c>
      <c r="L359" s="1325">
        <f ca="1">+IFERROR(VLOOKUP(I359,'Factores Emisión EDGE'!$K$267:$L$272,2,0),0)</f>
        <v>0</v>
      </c>
      <c r="M359" s="1325" t="e">
        <f t="shared" ca="1" si="4"/>
        <v>#NAME?</v>
      </c>
      <c r="N359" s="486" t="s">
        <v>3043</v>
      </c>
      <c r="O359" s="1312"/>
      <c r="P359" s="1312"/>
    </row>
    <row r="360" spans="1:16" ht="15.75" customHeight="1">
      <c r="A360" s="1314">
        <v>44939.70811550926</v>
      </c>
      <c r="B360" s="1310" t="s">
        <v>3552</v>
      </c>
      <c r="C360" s="1310" t="s">
        <v>3513</v>
      </c>
      <c r="D360" s="1310" t="s">
        <v>3060</v>
      </c>
      <c r="E360" s="1310" t="s">
        <v>3042</v>
      </c>
      <c r="F360" s="1310" t="s">
        <v>1952</v>
      </c>
      <c r="G360" s="1326">
        <v>10</v>
      </c>
      <c r="H360" s="486" t="e">
        <f t="array" aca="1" ref="H360" ca="1">+_xludf.IFS(E360="100% Presencial",1, E360="20% Teletrabajo (4 días a la semana)",0.8,E360="40% Teletrabajo (3 días a la semana)",0.6,E360="60% Teletrabajo (2 días a la semana)",0.4,E360="80% Teletrabajo (1 día a la semana)",0.2,E360="100% Teletrabajo",0)</f>
        <v>#NAME?</v>
      </c>
      <c r="I360" s="486" t="e">
        <f t="array" aca="1" ref="I360" ca="1">+_xludf.IFS(F360="Vehículo - Uso individual","Auto",F360="Vehículo - Uso compartido","Auto",F360="Transporte público/bus de acercamiento","Bus",F360="Moto","Moto",F360="Bicicleta o caminando","Bicicleta",F360="Ninguno, pues realicé 100% teletrabajo","No aplica",F360="Moto eléctrica","Moto eléctrica",F360="Vehículo eléctrico - Uso Individual","Vehículo eléctrico",F360="Vehículo eléctrico - Uso Compartido","Vehículo eléctrico")</f>
        <v>#NAME?</v>
      </c>
      <c r="J360" s="486">
        <v>1</v>
      </c>
      <c r="K360" s="1324" t="e">
        <f t="shared" ca="1" si="3"/>
        <v>#NAME?</v>
      </c>
      <c r="L360" s="1325">
        <f ca="1">+IFERROR(VLOOKUP(I360,'Factores Emisión EDGE'!$K$267:$L$272,2,0),0)</f>
        <v>0</v>
      </c>
      <c r="M360" s="1325" t="e">
        <f t="shared" ca="1" si="4"/>
        <v>#NAME?</v>
      </c>
      <c r="N360" s="486" t="s">
        <v>3043</v>
      </c>
      <c r="O360" s="1312"/>
      <c r="P360" s="1312"/>
    </row>
    <row r="361" spans="1:16" ht="15.75" customHeight="1">
      <c r="A361" s="1314">
        <v>44939.818744872682</v>
      </c>
      <c r="B361" s="1310" t="s">
        <v>3553</v>
      </c>
      <c r="C361" s="1310" t="s">
        <v>3554</v>
      </c>
      <c r="D361" s="1310" t="s">
        <v>3285</v>
      </c>
      <c r="E361" s="1310" t="s">
        <v>3042</v>
      </c>
      <c r="F361" s="1310" t="s">
        <v>1995</v>
      </c>
      <c r="G361" s="1326">
        <v>10</v>
      </c>
      <c r="H361" s="486" t="e">
        <f t="array" aca="1" ref="H361" ca="1">+_xludf.IFS(E361="100% Presencial",1, E361="20% Teletrabajo (4 días a la semana)",0.8,E361="40% Teletrabajo (3 días a la semana)",0.6,E361="60% Teletrabajo (2 días a la semana)",0.4,E361="80% Teletrabajo (1 día a la semana)",0.2,E361="100% Teletrabajo",0)</f>
        <v>#NAME?</v>
      </c>
      <c r="I361" s="486" t="e">
        <f t="array" aca="1" ref="I361" ca="1">+_xludf.IFS(F361="Vehículo - Uso individual","Auto",F361="Vehículo - Uso compartido","Auto",F361="Transporte público/bus de acercamiento","Bus",F361="Moto","Moto",F361="Bicicleta o caminando","Bicicleta",F361="Ninguno, pues realicé 100% teletrabajo","No aplica",F361="Moto eléctrica","Moto eléctrica",F361="Vehículo eléctrico - Uso Individual","Vehículo eléctrico",F361="Vehículo eléctrico - Uso Compartido","Vehículo eléctrico")</f>
        <v>#NAME?</v>
      </c>
      <c r="J361" s="486">
        <v>0.25</v>
      </c>
      <c r="K361" s="1324" t="e">
        <f t="shared" ca="1" si="3"/>
        <v>#NAME?</v>
      </c>
      <c r="L361" s="1325">
        <f ca="1">+IFERROR(VLOOKUP(I361,'Factores Emisión EDGE'!$K$267:$L$272,2,0),0)</f>
        <v>0</v>
      </c>
      <c r="M361" s="1325" t="e">
        <f t="shared" ca="1" si="4"/>
        <v>#NAME?</v>
      </c>
      <c r="N361" s="486" t="s">
        <v>3056</v>
      </c>
      <c r="O361" s="1312"/>
      <c r="P361" s="1312"/>
    </row>
    <row r="362" spans="1:16" ht="15.75" customHeight="1">
      <c r="A362" s="1314">
        <v>44939.970035787039</v>
      </c>
      <c r="B362" s="1310" t="s">
        <v>3555</v>
      </c>
      <c r="C362" s="1310" t="s">
        <v>3556</v>
      </c>
      <c r="E362" s="1310" t="s">
        <v>3042</v>
      </c>
      <c r="F362" s="1310" t="s">
        <v>1995</v>
      </c>
      <c r="G362" s="1326">
        <v>10</v>
      </c>
      <c r="H362" s="486" t="e">
        <f t="array" aca="1" ref="H362" ca="1">+_xludf.IFS(E362="100% Presencial",1, E362="20% Teletrabajo (4 días a la semana)",0.8,E362="40% Teletrabajo (3 días a la semana)",0.6,E362="60% Teletrabajo (2 días a la semana)",0.4,E362="80% Teletrabajo (1 día a la semana)",0.2,E362="100% Teletrabajo",0)</f>
        <v>#NAME?</v>
      </c>
      <c r="I362" s="486" t="e">
        <f t="array" aca="1" ref="I362" ca="1">+_xludf.IFS(F362="Vehículo - Uso individual","Auto",F362="Vehículo - Uso compartido","Auto",F362="Transporte público/bus de acercamiento","Bus",F362="Moto","Moto",F362="Bicicleta o caminando","Bicicleta",F362="Ninguno, pues realicé 100% teletrabajo","No aplica",F362="Moto eléctrica","Moto eléctrica",F362="Vehículo eléctrico - Uso Individual","Vehículo eléctrico",F362="Vehículo eléctrico - Uso Compartido","Vehículo eléctrico")</f>
        <v>#NAME?</v>
      </c>
      <c r="J362" s="486">
        <v>0.25</v>
      </c>
      <c r="K362" s="1324" t="e">
        <f t="shared" ca="1" si="3"/>
        <v>#NAME?</v>
      </c>
      <c r="L362" s="1325">
        <f ca="1">+IFERROR(VLOOKUP(I362,'Factores Emisión EDGE'!$K$267:$L$272,2,0),0)</f>
        <v>0</v>
      </c>
      <c r="M362" s="1325" t="e">
        <f t="shared" ca="1" si="4"/>
        <v>#NAME?</v>
      </c>
      <c r="N362" s="486" t="s">
        <v>3043</v>
      </c>
      <c r="O362" s="1312"/>
      <c r="P362" s="1312"/>
    </row>
    <row r="363" spans="1:16" ht="15.75" customHeight="1">
      <c r="A363" s="1314">
        <v>44939.409921990737</v>
      </c>
      <c r="B363" s="1310" t="s">
        <v>3557</v>
      </c>
      <c r="C363" s="1310" t="s">
        <v>3558</v>
      </c>
      <c r="D363" s="1310" t="s">
        <v>3048</v>
      </c>
      <c r="E363" s="1310" t="s">
        <v>885</v>
      </c>
      <c r="F363" s="1310" t="s">
        <v>1995</v>
      </c>
      <c r="G363" s="1326">
        <v>9.6</v>
      </c>
      <c r="H363" s="486" t="e">
        <f t="array" aca="1" ref="H363" ca="1">+_xludf.IFS(E363="100% Presencial",1, E363="20% Teletrabajo (4 días a la semana)",0.8,E363="40% Teletrabajo (3 días a la semana)",0.6,E363="60% Teletrabajo (2 días a la semana)",0.4,E363="80% Teletrabajo (1 día a la semana)",0.2,E363="100% Teletrabajo",0)</f>
        <v>#NAME?</v>
      </c>
      <c r="I363" s="486" t="e">
        <f t="array" aca="1" ref="I363" ca="1">+_xludf.IFS(F363="Vehículo - Uso individual","Auto",F363="Vehículo - Uso compartido","Auto",F363="Transporte público/bus de acercamiento","Bus",F363="Moto","Moto",F363="Bicicleta o caminando","Bicicleta",F363="Ninguno, pues realicé 100% teletrabajo","No aplica",F363="Moto eléctrica","Moto eléctrica",F363="Vehículo eléctrico - Uso Individual","Vehículo eléctrico",F363="Vehículo eléctrico - Uso Compartido","Vehículo eléctrico")</f>
        <v>#NAME?</v>
      </c>
      <c r="J363" s="486">
        <v>0.25</v>
      </c>
      <c r="K363" s="1324" t="e">
        <f t="shared" ca="1" si="3"/>
        <v>#NAME?</v>
      </c>
      <c r="L363" s="1325">
        <f ca="1">+IFERROR(VLOOKUP(I363,'Factores Emisión EDGE'!$K$267:$L$272,2,0),0)</f>
        <v>0</v>
      </c>
      <c r="M363" s="1325" t="e">
        <f t="shared" ca="1" si="4"/>
        <v>#NAME?</v>
      </c>
      <c r="N363" s="486" t="s">
        <v>3043</v>
      </c>
      <c r="O363" s="1312"/>
      <c r="P363" s="1312"/>
    </row>
    <row r="364" spans="1:16" ht="15.75" customHeight="1">
      <c r="A364" s="1314">
        <v>44931.471591921298</v>
      </c>
      <c r="B364" s="1310" t="s">
        <v>3559</v>
      </c>
      <c r="C364" s="1310" t="s">
        <v>3560</v>
      </c>
      <c r="D364" s="1310" t="s">
        <v>3048</v>
      </c>
      <c r="E364" s="1310" t="s">
        <v>3042</v>
      </c>
      <c r="F364" s="1310" t="s">
        <v>3055</v>
      </c>
      <c r="G364" s="1326">
        <v>9.5</v>
      </c>
      <c r="H364" s="486" t="e">
        <f t="array" aca="1" ref="H364" ca="1">+_xludf.IFS(E364="100% Presencial",1, E364="20% Teletrabajo (4 días a la semana)",0.8,E364="40% Teletrabajo (3 días a la semana)",0.6,E364="60% Teletrabajo (2 días a la semana)",0.4,E364="80% Teletrabajo (1 día a la semana)",0.2,E364="100% Teletrabajo",0)</f>
        <v>#NAME?</v>
      </c>
      <c r="I364" s="486" t="e">
        <f t="array" aca="1" ref="I364" ca="1">+_xludf.IFS(F364="Vehículo - Uso individual","Auto",F364="Vehículo - Uso compartido","Auto",F364="Transporte público/bus de acercamiento","Bus",F364="Moto","Moto",F364="Bicicleta o caminando","Bicicleta",F364="Ninguno, pues realicé 100% teletrabajo","No aplica",F364="Moto eléctrica","Moto eléctrica",F364="Vehículo eléctrico - Uso Individual","Vehículo eléctrico",F364="Vehículo eléctrico - Uso Compartido","Vehículo eléctrico")</f>
        <v>#NAME?</v>
      </c>
      <c r="J364" s="486">
        <v>1</v>
      </c>
      <c r="K364" s="1324" t="e">
        <f t="shared" ca="1" si="3"/>
        <v>#NAME?</v>
      </c>
      <c r="L364" s="1325">
        <f ca="1">+IFERROR(VLOOKUP(I364,'Factores Emisión EDGE'!$K$267:$L$272,2,0),0)</f>
        <v>0</v>
      </c>
      <c r="M364" s="1325" t="e">
        <f t="shared" ca="1" si="4"/>
        <v>#NAME?</v>
      </c>
      <c r="N364" s="486" t="s">
        <v>3056</v>
      </c>
      <c r="O364" s="1312"/>
      <c r="P364" s="1312"/>
    </row>
    <row r="365" spans="1:16" ht="15.75" customHeight="1">
      <c r="A365" s="1314">
        <v>44929.649499212959</v>
      </c>
      <c r="B365" s="1310" t="s">
        <v>2495</v>
      </c>
      <c r="C365" s="1310" t="s">
        <v>3561</v>
      </c>
      <c r="D365" s="1310" t="s">
        <v>3048</v>
      </c>
      <c r="E365" s="1310" t="s">
        <v>885</v>
      </c>
      <c r="F365" s="1310" t="s">
        <v>3055</v>
      </c>
      <c r="G365" s="1326">
        <v>9.4</v>
      </c>
      <c r="H365" s="486" t="e">
        <f t="array" aca="1" ref="H365" ca="1">+_xludf.IFS(E365="100% Presencial",1, E365="20% Teletrabajo (4 días a la semana)",0.8,E365="40% Teletrabajo (3 días a la semana)",0.6,E365="60% Teletrabajo (2 días a la semana)",0.4,E365="80% Teletrabajo (1 día a la semana)",0.2,E365="100% Teletrabajo",0)</f>
        <v>#NAME?</v>
      </c>
      <c r="I365" s="486" t="e">
        <f t="array" aca="1" ref="I365" ca="1">+_xludf.IFS(F365="Vehículo - Uso individual","Auto",F365="Vehículo - Uso compartido","Auto",F365="Transporte público/bus de acercamiento","Bus",F365="Moto","Moto",F365="Bicicleta o caminando","Bicicleta",F365="Ninguno, pues realicé 100% teletrabajo","No aplica",F365="Moto eléctrica","Moto eléctrica",F365="Vehículo eléctrico - Uso Individual","Vehículo eléctrico",F365="Vehículo eléctrico - Uso Compartido","Vehículo eléctrico")</f>
        <v>#NAME?</v>
      </c>
      <c r="J365" s="486">
        <v>1</v>
      </c>
      <c r="K365" s="1324" t="e">
        <f t="shared" ca="1" si="3"/>
        <v>#NAME?</v>
      </c>
      <c r="L365" s="1325">
        <f ca="1">+IFERROR(VLOOKUP(I365,'Factores Emisión EDGE'!$K$267:$L$272,2,0),0)</f>
        <v>0</v>
      </c>
      <c r="M365" s="1325" t="e">
        <f t="shared" ca="1" si="4"/>
        <v>#NAME?</v>
      </c>
      <c r="N365" s="486" t="s">
        <v>3043</v>
      </c>
      <c r="O365" s="1312"/>
      <c r="P365" s="1312"/>
    </row>
    <row r="366" spans="1:16" ht="15.75" customHeight="1">
      <c r="A366" s="1314">
        <v>44931.422501747686</v>
      </c>
      <c r="B366" s="1310" t="s">
        <v>3562</v>
      </c>
      <c r="C366" s="1310" t="s">
        <v>3563</v>
      </c>
      <c r="D366" s="1310" t="s">
        <v>3048</v>
      </c>
      <c r="E366" s="1310" t="s">
        <v>3042</v>
      </c>
      <c r="F366" s="1310" t="s">
        <v>1952</v>
      </c>
      <c r="G366" s="1326">
        <v>9</v>
      </c>
      <c r="H366" s="486" t="e">
        <f t="array" aca="1" ref="H366" ca="1">+_xludf.IFS(E366="100% Presencial",1, E366="20% Teletrabajo (4 días a la semana)",0.8,E366="40% Teletrabajo (3 días a la semana)",0.6,E366="60% Teletrabajo (2 días a la semana)",0.4,E366="80% Teletrabajo (1 día a la semana)",0.2,E366="100% Teletrabajo",0)</f>
        <v>#NAME?</v>
      </c>
      <c r="I366" s="486" t="e">
        <f t="array" aca="1" ref="I366" ca="1">+_xludf.IFS(F366="Vehículo - Uso individual","Auto",F366="Vehículo - Uso compartido","Auto",F366="Transporte público/bus de acercamiento","Bus",F366="Moto","Moto",F366="Bicicleta o caminando","Bicicleta",F366="Ninguno, pues realicé 100% teletrabajo","No aplica",F366="Moto eléctrica","Moto eléctrica",F366="Vehículo eléctrico - Uso Individual","Vehículo eléctrico",F366="Vehículo eléctrico - Uso Compartido","Vehículo eléctrico")</f>
        <v>#NAME?</v>
      </c>
      <c r="J366" s="486">
        <v>1</v>
      </c>
      <c r="K366" s="1324" t="e">
        <f t="shared" ca="1" si="3"/>
        <v>#NAME?</v>
      </c>
      <c r="L366" s="1325">
        <f ca="1">+IFERROR(VLOOKUP(I366,'Factores Emisión EDGE'!$K$267:$L$272,2,0),0)</f>
        <v>0</v>
      </c>
      <c r="M366" s="1325" t="e">
        <f t="shared" ca="1" si="4"/>
        <v>#NAME?</v>
      </c>
      <c r="N366" s="486" t="s">
        <v>3056</v>
      </c>
      <c r="O366" s="1312"/>
      <c r="P366" s="1312"/>
    </row>
    <row r="367" spans="1:16" ht="15.75" customHeight="1">
      <c r="A367" s="1314">
        <v>44929.485904016205</v>
      </c>
      <c r="B367" s="1310" t="s">
        <v>3564</v>
      </c>
      <c r="C367" s="1310" t="s">
        <v>3565</v>
      </c>
      <c r="D367" s="1310" t="s">
        <v>3048</v>
      </c>
      <c r="E367" s="1310" t="s">
        <v>3066</v>
      </c>
      <c r="F367" s="1310" t="s">
        <v>1952</v>
      </c>
      <c r="G367" s="1326">
        <v>9</v>
      </c>
      <c r="H367" s="486" t="e">
        <f t="array" aca="1" ref="H367" ca="1">+_xludf.IFS(E367="100% Presencial",1, E367="20% Teletrabajo (4 días a la semana)",0.8,E367="40% Teletrabajo (3 días a la semana)",0.6,E367="60% Teletrabajo (2 días a la semana)",0.4,E367="80% Teletrabajo (1 día a la semana)",0.2,E367="100% Teletrabajo",0)</f>
        <v>#NAME?</v>
      </c>
      <c r="I367" s="486" t="e">
        <f t="array" aca="1" ref="I367" ca="1">+_xludf.IFS(F367="Vehículo - Uso individual","Auto",F367="Vehículo - Uso compartido","Auto",F367="Transporte público/bus de acercamiento","Bus",F367="Moto","Moto",F367="Bicicleta o caminando","Bicicleta",F367="Ninguno, pues realicé 100% teletrabajo","No aplica",F367="Moto eléctrica","Moto eléctrica",F367="Vehículo eléctrico - Uso Individual","Vehículo eléctrico",F367="Vehículo eléctrico - Uso Compartido","Vehículo eléctrico")</f>
        <v>#NAME?</v>
      </c>
      <c r="J367" s="486">
        <v>1</v>
      </c>
      <c r="K367" s="1324" t="e">
        <f t="shared" ca="1" si="3"/>
        <v>#NAME?</v>
      </c>
      <c r="L367" s="1325">
        <f ca="1">+IFERROR(VLOOKUP(I367,'Factores Emisión EDGE'!$K$267:$L$272,2,0),0)</f>
        <v>0</v>
      </c>
      <c r="M367" s="1325" t="e">
        <f t="shared" ca="1" si="4"/>
        <v>#NAME?</v>
      </c>
      <c r="N367" s="486" t="s">
        <v>3043</v>
      </c>
      <c r="O367" s="1312"/>
      <c r="P367" s="1312"/>
    </row>
    <row r="368" spans="1:16" ht="15.75" customHeight="1">
      <c r="A368" s="1314">
        <v>44937.623116342591</v>
      </c>
      <c r="B368" s="1310" t="s">
        <v>3566</v>
      </c>
      <c r="C368" s="1310" t="s">
        <v>3567</v>
      </c>
      <c r="D368" s="1310" t="s">
        <v>3048</v>
      </c>
      <c r="E368" s="1310" t="s">
        <v>883</v>
      </c>
      <c r="F368" s="1310" t="s">
        <v>1952</v>
      </c>
      <c r="G368" s="1326">
        <v>9</v>
      </c>
      <c r="H368" s="486" t="e">
        <f t="array" aca="1" ref="H368" ca="1">+_xludf.IFS(E368="100% Presencial",1, E368="20% Teletrabajo (4 días a la semana)",0.8,E368="40% Teletrabajo (3 días a la semana)",0.6,E368="60% Teletrabajo (2 días a la semana)",0.4,E368="80% Teletrabajo (1 día a la semana)",0.2,E368="100% Teletrabajo",0)</f>
        <v>#NAME?</v>
      </c>
      <c r="I368" s="486" t="e">
        <f t="array" aca="1" ref="I368" ca="1">+_xludf.IFS(F368="Vehículo - Uso individual","Auto",F368="Vehículo - Uso compartido","Auto",F368="Transporte público/bus de acercamiento","Bus",F368="Moto","Moto",F368="Bicicleta o caminando","Bicicleta",F368="Ninguno, pues realicé 100% teletrabajo","No aplica",F368="Moto eléctrica","Moto eléctrica",F368="Vehículo eléctrico - Uso Individual","Vehículo eléctrico",F368="Vehículo eléctrico - Uso Compartido","Vehículo eléctrico")</f>
        <v>#NAME?</v>
      </c>
      <c r="J368" s="486">
        <v>1</v>
      </c>
      <c r="K368" s="1324" t="e">
        <f t="shared" ca="1" si="3"/>
        <v>#NAME?</v>
      </c>
      <c r="L368" s="1325">
        <f ca="1">+IFERROR(VLOOKUP(I368,'Factores Emisión EDGE'!$K$267:$L$272,2,0),0)</f>
        <v>0</v>
      </c>
      <c r="M368" s="1325" t="e">
        <f t="shared" ca="1" si="4"/>
        <v>#NAME?</v>
      </c>
      <c r="N368" s="486" t="s">
        <v>3043</v>
      </c>
      <c r="O368" s="1312"/>
      <c r="P368" s="1312"/>
    </row>
    <row r="369" spans="1:16" ht="15.75" customHeight="1">
      <c r="A369" s="1314">
        <v>44938.584512083333</v>
      </c>
      <c r="B369" s="1310" t="s">
        <v>3568</v>
      </c>
      <c r="C369" s="1310" t="s">
        <v>3569</v>
      </c>
      <c r="D369" s="1310" t="s">
        <v>3292</v>
      </c>
      <c r="E369" s="1310" t="s">
        <v>3042</v>
      </c>
      <c r="F369" s="1310" t="s">
        <v>3055</v>
      </c>
      <c r="G369" s="1326">
        <v>8.8000000000000007</v>
      </c>
      <c r="H369" s="486" t="e">
        <f t="array" aca="1" ref="H369" ca="1">+_xludf.IFS(E369="100% Presencial",1, E369="20% Teletrabajo (4 días a la semana)",0.8,E369="40% Teletrabajo (3 días a la semana)",0.6,E369="60% Teletrabajo (2 días a la semana)",0.4,E369="80% Teletrabajo (1 día a la semana)",0.2,E369="100% Teletrabajo",0)</f>
        <v>#NAME?</v>
      </c>
      <c r="I369" s="486" t="e">
        <f t="array" aca="1" ref="I369" ca="1">+_xludf.IFS(F369="Vehículo - Uso individual","Auto",F369="Vehículo - Uso compartido","Auto",F369="Transporte público/bus de acercamiento","Bus",F369="Moto","Moto",F369="Bicicleta o caminando","Bicicleta",F369="Ninguno, pues realicé 100% teletrabajo","No aplica",F369="Moto eléctrica","Moto eléctrica",F369="Vehículo eléctrico - Uso Individual","Vehículo eléctrico",F369="Vehículo eléctrico - Uso Compartido","Vehículo eléctrico")</f>
        <v>#NAME?</v>
      </c>
      <c r="J369" s="486">
        <v>1</v>
      </c>
      <c r="K369" s="1324" t="e">
        <f t="shared" ca="1" si="3"/>
        <v>#NAME?</v>
      </c>
      <c r="L369" s="1325">
        <f ca="1">+IFERROR(VLOOKUP(I369,'Factores Emisión EDGE'!$K$267:$L$272,2,0),0)</f>
        <v>0</v>
      </c>
      <c r="M369" s="1325" t="e">
        <f t="shared" ca="1" si="4"/>
        <v>#NAME?</v>
      </c>
      <c r="N369" s="486" t="s">
        <v>3056</v>
      </c>
      <c r="O369" s="1312"/>
      <c r="P369" s="1312"/>
    </row>
    <row r="370" spans="1:16" ht="15.75" customHeight="1">
      <c r="A370" s="1314">
        <v>44939.380558032411</v>
      </c>
      <c r="B370" s="1310" t="s">
        <v>2438</v>
      </c>
      <c r="C370" s="1310" t="s">
        <v>2439</v>
      </c>
      <c r="D370" s="1310" t="s">
        <v>3048</v>
      </c>
      <c r="E370" s="1310" t="s">
        <v>883</v>
      </c>
      <c r="F370" s="1310" t="s">
        <v>1952</v>
      </c>
      <c r="G370" s="1326">
        <v>8.8000000000000007</v>
      </c>
      <c r="H370" s="486" t="e">
        <f t="array" aca="1" ref="H370" ca="1">+_xludf.IFS(E370="100% Presencial",1, E370="20% Teletrabajo (4 días a la semana)",0.8,E370="40% Teletrabajo (3 días a la semana)",0.6,E370="60% Teletrabajo (2 días a la semana)",0.4,E370="80% Teletrabajo (1 día a la semana)",0.2,E370="100% Teletrabajo",0)</f>
        <v>#NAME?</v>
      </c>
      <c r="I370" s="486" t="e">
        <f t="array" aca="1" ref="I370" ca="1">+_xludf.IFS(F370="Vehículo - Uso individual","Auto",F370="Vehículo - Uso compartido","Auto",F370="Transporte público/bus de acercamiento","Bus",F370="Moto","Moto",F370="Bicicleta o caminando","Bicicleta",F370="Ninguno, pues realicé 100% teletrabajo","No aplica",F370="Moto eléctrica","Moto eléctrica",F370="Vehículo eléctrico - Uso Individual","Vehículo eléctrico",F370="Vehículo eléctrico - Uso Compartido","Vehículo eléctrico")</f>
        <v>#NAME?</v>
      </c>
      <c r="J370" s="486">
        <v>1</v>
      </c>
      <c r="K370" s="1324" t="e">
        <f t="shared" ca="1" si="3"/>
        <v>#NAME?</v>
      </c>
      <c r="L370" s="1325">
        <f ca="1">+IFERROR(VLOOKUP(I370,'Factores Emisión EDGE'!$K$267:$L$272,2,0),0)</f>
        <v>0</v>
      </c>
      <c r="M370" s="1325" t="e">
        <f t="shared" ca="1" si="4"/>
        <v>#NAME?</v>
      </c>
      <c r="N370" s="486" t="s">
        <v>3043</v>
      </c>
      <c r="O370" s="1312"/>
      <c r="P370" s="1312"/>
    </row>
    <row r="371" spans="1:16" ht="15.75" customHeight="1">
      <c r="A371" s="1314">
        <v>44939.389111122684</v>
      </c>
      <c r="B371" s="1310" t="s">
        <v>2407</v>
      </c>
      <c r="C371" s="1310" t="s">
        <v>2408</v>
      </c>
      <c r="D371" s="1310" t="s">
        <v>3048</v>
      </c>
      <c r="E371" s="1310" t="s">
        <v>3042</v>
      </c>
      <c r="F371" s="1310" t="s">
        <v>3055</v>
      </c>
      <c r="G371" s="1326">
        <v>8.6</v>
      </c>
      <c r="H371" s="486" t="e">
        <f t="array" aca="1" ref="H371" ca="1">+_xludf.IFS(E371="100% Presencial",1, E371="20% Teletrabajo (4 días a la semana)",0.8,E371="40% Teletrabajo (3 días a la semana)",0.6,E371="60% Teletrabajo (2 días a la semana)",0.4,E371="80% Teletrabajo (1 día a la semana)",0.2,E371="100% Teletrabajo",0)</f>
        <v>#NAME?</v>
      </c>
      <c r="I371" s="486" t="e">
        <f t="array" aca="1" ref="I371" ca="1">+_xludf.IFS(F371="Vehículo - Uso individual","Auto",F371="Vehículo - Uso compartido","Auto",F371="Transporte público/bus de acercamiento","Bus",F371="Moto","Moto",F371="Bicicleta o caminando","Bicicleta",F371="Ninguno, pues realicé 100% teletrabajo","No aplica",F371="Moto eléctrica","Moto eléctrica",F371="Vehículo eléctrico - Uso Individual","Vehículo eléctrico",F371="Vehículo eléctrico - Uso Compartido","Vehículo eléctrico")</f>
        <v>#NAME?</v>
      </c>
      <c r="J371" s="486">
        <v>1</v>
      </c>
      <c r="K371" s="1324" t="e">
        <f t="shared" ca="1" si="3"/>
        <v>#NAME?</v>
      </c>
      <c r="L371" s="1325">
        <f ca="1">+IFERROR(VLOOKUP(I371,'Factores Emisión EDGE'!$K$267:$L$272,2,0),0)</f>
        <v>0</v>
      </c>
      <c r="M371" s="1325" t="e">
        <f t="shared" ca="1" si="4"/>
        <v>#NAME?</v>
      </c>
      <c r="N371" s="486" t="s">
        <v>3043</v>
      </c>
      <c r="O371" s="1312"/>
      <c r="P371" s="1312"/>
    </row>
    <row r="372" spans="1:16" ht="15.75" customHeight="1">
      <c r="A372" s="1314">
        <v>44929.491910486111</v>
      </c>
      <c r="B372" s="1310" t="s">
        <v>2192</v>
      </c>
      <c r="C372" s="1310" t="s">
        <v>2193</v>
      </c>
      <c r="D372" s="1310" t="s">
        <v>3048</v>
      </c>
      <c r="E372" s="1310" t="s">
        <v>885</v>
      </c>
      <c r="F372" s="1310" t="s">
        <v>1952</v>
      </c>
      <c r="G372" s="1326">
        <v>8.5</v>
      </c>
      <c r="H372" s="486" t="e">
        <f t="array" aca="1" ref="H372" ca="1">+_xludf.IFS(E372="100% Presencial",1, E372="20% Teletrabajo (4 días a la semana)",0.8,E372="40% Teletrabajo (3 días a la semana)",0.6,E372="60% Teletrabajo (2 días a la semana)",0.4,E372="80% Teletrabajo (1 día a la semana)",0.2,E372="100% Teletrabajo",0)</f>
        <v>#NAME?</v>
      </c>
      <c r="I372" s="486" t="e">
        <f t="array" aca="1" ref="I372" ca="1">+_xludf.IFS(F372="Vehículo - Uso individual","Auto",F372="Vehículo - Uso compartido","Auto",F372="Transporte público/bus de acercamiento","Bus",F372="Moto","Moto",F372="Bicicleta o caminando","Bicicleta",F372="Ninguno, pues realicé 100% teletrabajo","No aplica",F372="Moto eléctrica","Moto eléctrica",F372="Vehículo eléctrico - Uso Individual","Vehículo eléctrico",F372="Vehículo eléctrico - Uso Compartido","Vehículo eléctrico")</f>
        <v>#NAME?</v>
      </c>
      <c r="J372" s="486">
        <v>1</v>
      </c>
      <c r="K372" s="1324" t="e">
        <f t="shared" ca="1" si="3"/>
        <v>#NAME?</v>
      </c>
      <c r="L372" s="1325">
        <f ca="1">+IFERROR(VLOOKUP(I372,'Factores Emisión EDGE'!$K$267:$L$272,2,0),0)</f>
        <v>0</v>
      </c>
      <c r="M372" s="1325" t="e">
        <f t="shared" ca="1" si="4"/>
        <v>#NAME?</v>
      </c>
      <c r="N372" s="486" t="s">
        <v>3043</v>
      </c>
      <c r="O372" s="1312"/>
      <c r="P372" s="1312"/>
    </row>
    <row r="373" spans="1:16" ht="15.75" customHeight="1">
      <c r="A373" s="1314">
        <v>44939.437042245372</v>
      </c>
      <c r="B373" s="1310" t="s">
        <v>3570</v>
      </c>
      <c r="C373" s="1310" t="s">
        <v>3571</v>
      </c>
      <c r="D373" s="1310" t="s">
        <v>3048</v>
      </c>
      <c r="E373" s="1310" t="s">
        <v>885</v>
      </c>
      <c r="F373" s="1310" t="s">
        <v>1952</v>
      </c>
      <c r="G373" s="1326">
        <v>8.5</v>
      </c>
      <c r="H373" s="486" t="e">
        <f t="array" aca="1" ref="H373" ca="1">+_xludf.IFS(E373="100% Presencial",1, E373="20% Teletrabajo (4 días a la semana)",0.8,E373="40% Teletrabajo (3 días a la semana)",0.6,E373="60% Teletrabajo (2 días a la semana)",0.4,E373="80% Teletrabajo (1 día a la semana)",0.2,E373="100% Teletrabajo",0)</f>
        <v>#NAME?</v>
      </c>
      <c r="I373" s="486" t="e">
        <f t="array" aca="1" ref="I373" ca="1">+_xludf.IFS(F373="Vehículo - Uso individual","Auto",F373="Vehículo - Uso compartido","Auto",F373="Transporte público/bus de acercamiento","Bus",F373="Moto","Moto",F373="Bicicleta o caminando","Bicicleta",F373="Ninguno, pues realicé 100% teletrabajo","No aplica",F373="Moto eléctrica","Moto eléctrica",F373="Vehículo eléctrico - Uso Individual","Vehículo eléctrico",F373="Vehículo eléctrico - Uso Compartido","Vehículo eléctrico")</f>
        <v>#NAME?</v>
      </c>
      <c r="J373" s="486">
        <v>1</v>
      </c>
      <c r="K373" s="1324" t="e">
        <f t="shared" ca="1" si="3"/>
        <v>#NAME?</v>
      </c>
      <c r="L373" s="1325">
        <f ca="1">+IFERROR(VLOOKUP(I373,'Factores Emisión EDGE'!$K$267:$L$272,2,0),0)</f>
        <v>0</v>
      </c>
      <c r="M373" s="1325" t="e">
        <f t="shared" ca="1" si="4"/>
        <v>#NAME?</v>
      </c>
      <c r="N373" s="486" t="s">
        <v>3043</v>
      </c>
      <c r="O373" s="1312"/>
      <c r="P373" s="1312"/>
    </row>
    <row r="374" spans="1:16" ht="15.75" customHeight="1">
      <c r="A374" s="1314">
        <v>44939.398126412038</v>
      </c>
      <c r="B374" s="1310" t="s">
        <v>3572</v>
      </c>
      <c r="C374" s="1310" t="s">
        <v>3573</v>
      </c>
      <c r="D374" s="1310" t="s">
        <v>3048</v>
      </c>
      <c r="E374" s="1310" t="s">
        <v>883</v>
      </c>
      <c r="F374" s="1310" t="s">
        <v>1952</v>
      </c>
      <c r="G374" s="1326">
        <v>8.4</v>
      </c>
      <c r="H374" s="486" t="e">
        <f t="array" aca="1" ref="H374" ca="1">+_xludf.IFS(E374="100% Presencial",1, E374="20% Teletrabajo (4 días a la semana)",0.8,E374="40% Teletrabajo (3 días a la semana)",0.6,E374="60% Teletrabajo (2 días a la semana)",0.4,E374="80% Teletrabajo (1 día a la semana)",0.2,E374="100% Teletrabajo",0)</f>
        <v>#NAME?</v>
      </c>
      <c r="I374" s="486" t="e">
        <f t="array" aca="1" ref="I374" ca="1">+_xludf.IFS(F374="Vehículo - Uso individual","Auto",F374="Vehículo - Uso compartido","Auto",F374="Transporte público/bus de acercamiento","Bus",F374="Moto","Moto",F374="Bicicleta o caminando","Bicicleta",F374="Ninguno, pues realicé 100% teletrabajo","No aplica",F374="Moto eléctrica","Moto eléctrica",F374="Vehículo eléctrico - Uso Individual","Vehículo eléctrico",F374="Vehículo eléctrico - Uso Compartido","Vehículo eléctrico")</f>
        <v>#NAME?</v>
      </c>
      <c r="J374" s="486">
        <v>1</v>
      </c>
      <c r="K374" s="1324" t="e">
        <f t="shared" ca="1" si="3"/>
        <v>#NAME?</v>
      </c>
      <c r="L374" s="1325">
        <f ca="1">+IFERROR(VLOOKUP(I374,'Factores Emisión EDGE'!$K$267:$L$272,2,0),0)</f>
        <v>0</v>
      </c>
      <c r="M374" s="1325" t="e">
        <f t="shared" ca="1" si="4"/>
        <v>#NAME?</v>
      </c>
      <c r="N374" s="486" t="s">
        <v>3043</v>
      </c>
      <c r="O374" s="1312"/>
      <c r="P374" s="1312"/>
    </row>
    <row r="375" spans="1:16" ht="15.75" customHeight="1">
      <c r="A375" s="1314">
        <v>44930.448938379632</v>
      </c>
      <c r="B375" s="1310" t="s">
        <v>3574</v>
      </c>
      <c r="C375" s="1310" t="s">
        <v>3575</v>
      </c>
      <c r="D375" s="1310" t="s">
        <v>3048</v>
      </c>
      <c r="E375" s="1310" t="s">
        <v>3042</v>
      </c>
      <c r="F375" s="1310" t="s">
        <v>1983</v>
      </c>
      <c r="G375" s="1326">
        <v>8</v>
      </c>
      <c r="H375" s="486" t="e">
        <f t="array" aca="1" ref="H375" ca="1">+_xludf.IFS(E375="100% Presencial",1, E375="20% Teletrabajo (4 días a la semana)",0.8,E375="40% Teletrabajo (3 días a la semana)",0.6,E375="60% Teletrabajo (2 días a la semana)",0.4,E375="80% Teletrabajo (1 día a la semana)",0.2,E375="100% Teletrabajo",0)</f>
        <v>#NAME?</v>
      </c>
      <c r="I375" s="486" t="e">
        <f t="array" aca="1" ref="I375" ca="1">+_xludf.IFS(F375="Vehículo - Uso individual","Auto",F375="Vehículo - Uso compartido","Auto",F375="Transporte público/bus de acercamiento","Bus",F375="Moto","Moto",F375="Bicicleta o caminando","Bicicleta",F375="Ninguno, pues realicé 100% teletrabajo","No aplica",F375="Moto eléctrica","Moto eléctrica",F375="Vehículo eléctrico - Uso Individual","Vehículo eléctrico",F375="Vehículo eléctrico - Uso Compartido","Vehículo eléctrico")</f>
        <v>#NAME?</v>
      </c>
      <c r="J375" s="486">
        <v>1</v>
      </c>
      <c r="K375" s="1324" t="e">
        <f t="shared" ca="1" si="3"/>
        <v>#NAME?</v>
      </c>
      <c r="L375" s="1325">
        <f ca="1">+IFERROR(VLOOKUP(I375,'Factores Emisión EDGE'!$K$267:$L$272,2,0),0)</f>
        <v>0</v>
      </c>
      <c r="M375" s="1325" t="e">
        <f t="shared" ca="1" si="4"/>
        <v>#NAME?</v>
      </c>
      <c r="N375" s="486" t="s">
        <v>3056</v>
      </c>
      <c r="O375" s="1312"/>
      <c r="P375" s="1312"/>
    </row>
    <row r="376" spans="1:16" ht="15.75" customHeight="1">
      <c r="A376" s="1314">
        <v>44932.863890949069</v>
      </c>
      <c r="B376" s="1310" t="s">
        <v>3576</v>
      </c>
      <c r="C376" s="1310" t="s">
        <v>3577</v>
      </c>
      <c r="D376" s="1310" t="s">
        <v>3083</v>
      </c>
      <c r="E376" s="1310" t="s">
        <v>3042</v>
      </c>
      <c r="F376" s="1310" t="s">
        <v>1952</v>
      </c>
      <c r="G376" s="1326">
        <v>8</v>
      </c>
      <c r="H376" s="486" t="e">
        <f t="array" aca="1" ref="H376" ca="1">+_xludf.IFS(E376="100% Presencial",1, E376="20% Teletrabajo (4 días a la semana)",0.8,E376="40% Teletrabajo (3 días a la semana)",0.6,E376="60% Teletrabajo (2 días a la semana)",0.4,E376="80% Teletrabajo (1 día a la semana)",0.2,E376="100% Teletrabajo",0)</f>
        <v>#NAME?</v>
      </c>
      <c r="I376" s="486" t="e">
        <f t="array" aca="1" ref="I376" ca="1">+_xludf.IFS(F376="Vehículo - Uso individual","Auto",F376="Vehículo - Uso compartido","Auto",F376="Transporte público/bus de acercamiento","Bus",F376="Moto","Moto",F376="Bicicleta o caminando","Bicicleta",F376="Ninguno, pues realicé 100% teletrabajo","No aplica",F376="Moto eléctrica","Moto eléctrica",F376="Vehículo eléctrico - Uso Individual","Vehículo eléctrico",F376="Vehículo eléctrico - Uso Compartido","Vehículo eléctrico")</f>
        <v>#NAME?</v>
      </c>
      <c r="J376" s="486">
        <v>1</v>
      </c>
      <c r="K376" s="1324" t="e">
        <f t="shared" ca="1" si="3"/>
        <v>#NAME?</v>
      </c>
      <c r="L376" s="1325">
        <f ca="1">+IFERROR(VLOOKUP(I376,'Factores Emisión EDGE'!$K$267:$L$272,2,0),0)</f>
        <v>0</v>
      </c>
      <c r="M376" s="1325" t="e">
        <f t="shared" ca="1" si="4"/>
        <v>#NAME?</v>
      </c>
      <c r="N376" s="486" t="s">
        <v>3056</v>
      </c>
      <c r="O376" s="1312"/>
      <c r="P376" s="1312"/>
    </row>
    <row r="377" spans="1:16" ht="15.75" customHeight="1">
      <c r="A377" s="1314">
        <v>44930.460861874999</v>
      </c>
      <c r="B377" s="1310" t="s">
        <v>3578</v>
      </c>
      <c r="D377" s="1310" t="s">
        <v>3107</v>
      </c>
      <c r="E377" s="1310" t="s">
        <v>3042</v>
      </c>
      <c r="F377" s="1310" t="s">
        <v>3055</v>
      </c>
      <c r="G377" s="1326">
        <v>8</v>
      </c>
      <c r="H377" s="486" t="e">
        <f t="array" aca="1" ref="H377" ca="1">+_xludf.IFS(E377="100% Presencial",1, E377="20% Teletrabajo (4 días a la semana)",0.8,E377="40% Teletrabajo (3 días a la semana)",0.6,E377="60% Teletrabajo (2 días a la semana)",0.4,E377="80% Teletrabajo (1 día a la semana)",0.2,E377="100% Teletrabajo",0)</f>
        <v>#NAME?</v>
      </c>
      <c r="I377" s="486" t="e">
        <f t="array" aca="1" ref="I377" ca="1">+_xludf.IFS(F377="Vehículo - Uso individual","Auto",F377="Vehículo - Uso compartido","Auto",F377="Transporte público/bus de acercamiento","Bus",F377="Moto","Moto",F377="Bicicleta o caminando","Bicicleta",F377="Ninguno, pues realicé 100% teletrabajo","No aplica",F377="Moto eléctrica","Moto eléctrica",F377="Vehículo eléctrico - Uso Individual","Vehículo eléctrico",F377="Vehículo eléctrico - Uso Compartido","Vehículo eléctrico")</f>
        <v>#NAME?</v>
      </c>
      <c r="J377" s="486">
        <v>1</v>
      </c>
      <c r="K377" s="1324" t="e">
        <f t="shared" ca="1" si="3"/>
        <v>#NAME?</v>
      </c>
      <c r="L377" s="1325">
        <f ca="1">+IFERROR(VLOOKUP(I377,'Factores Emisión EDGE'!$K$267:$L$272,2,0),0)</f>
        <v>0</v>
      </c>
      <c r="M377" s="1325" t="e">
        <f t="shared" ca="1" si="4"/>
        <v>#NAME?</v>
      </c>
      <c r="N377" s="486" t="s">
        <v>3056</v>
      </c>
      <c r="O377" s="1312"/>
      <c r="P377" s="1312"/>
    </row>
    <row r="378" spans="1:16" ht="15.75" customHeight="1">
      <c r="A378" s="1314">
        <v>44929.488309097222</v>
      </c>
      <c r="B378" s="1310" t="s">
        <v>2821</v>
      </c>
      <c r="C378" s="1310" t="s">
        <v>2822</v>
      </c>
      <c r="D378" s="1310" t="s">
        <v>3107</v>
      </c>
      <c r="E378" s="1310" t="s">
        <v>3042</v>
      </c>
      <c r="F378" s="1310" t="s">
        <v>1952</v>
      </c>
      <c r="G378" s="1326">
        <v>8</v>
      </c>
      <c r="H378" s="486" t="e">
        <f t="array" aca="1" ref="H378" ca="1">+_xludf.IFS(E378="100% Presencial",1, E378="20% Teletrabajo (4 días a la semana)",0.8,E378="40% Teletrabajo (3 días a la semana)",0.6,E378="60% Teletrabajo (2 días a la semana)",0.4,E378="80% Teletrabajo (1 día a la semana)",0.2,E378="100% Teletrabajo",0)</f>
        <v>#NAME?</v>
      </c>
      <c r="I378" s="486" t="e">
        <f t="array" aca="1" ref="I378" ca="1">+_xludf.IFS(F378="Vehículo - Uso individual","Auto",F378="Vehículo - Uso compartido","Auto",F378="Transporte público/bus de acercamiento","Bus",F378="Moto","Moto",F378="Bicicleta o caminando","Bicicleta",F378="Ninguno, pues realicé 100% teletrabajo","No aplica",F378="Moto eléctrica","Moto eléctrica",F378="Vehículo eléctrico - Uso Individual","Vehículo eléctrico",F378="Vehículo eléctrico - Uso Compartido","Vehículo eléctrico")</f>
        <v>#NAME?</v>
      </c>
      <c r="J378" s="486">
        <v>1</v>
      </c>
      <c r="K378" s="1324" t="e">
        <f t="shared" ca="1" si="3"/>
        <v>#NAME?</v>
      </c>
      <c r="L378" s="1325">
        <f ca="1">+IFERROR(VLOOKUP(I378,'Factores Emisión EDGE'!$K$267:$L$272,2,0),0)</f>
        <v>0</v>
      </c>
      <c r="M378" s="1325" t="e">
        <f t="shared" ca="1" si="4"/>
        <v>#NAME?</v>
      </c>
      <c r="N378" s="486" t="s">
        <v>3043</v>
      </c>
      <c r="O378" s="1312"/>
      <c r="P378" s="1312"/>
    </row>
    <row r="379" spans="1:16" ht="15.75" customHeight="1">
      <c r="A379" s="1314">
        <v>44929.518616585643</v>
      </c>
      <c r="B379" s="1310" t="s">
        <v>3579</v>
      </c>
      <c r="C379" s="1310" t="s">
        <v>2778</v>
      </c>
      <c r="D379" s="1310" t="s">
        <v>3580</v>
      </c>
      <c r="E379" s="1310" t="s">
        <v>881</v>
      </c>
      <c r="F379" s="1310" t="s">
        <v>1952</v>
      </c>
      <c r="G379" s="1326">
        <v>8</v>
      </c>
      <c r="H379" s="486" t="e">
        <f t="array" aca="1" ref="H379" ca="1">+_xludf.IFS(E379="100% Presencial",1, E379="20% Teletrabajo (4 días a la semana)",0.8,E379="40% Teletrabajo (3 días a la semana)",0.6,E379="60% Teletrabajo (2 días a la semana)",0.4,E379="80% Teletrabajo (1 día a la semana)",0.2,E379="100% Teletrabajo",0)</f>
        <v>#NAME?</v>
      </c>
      <c r="I379" s="486" t="e">
        <f t="array" aca="1" ref="I379" ca="1">+_xludf.IFS(F379="Vehículo - Uso individual","Auto",F379="Vehículo - Uso compartido","Auto",F379="Transporte público/bus de acercamiento","Bus",F379="Moto","Moto",F379="Bicicleta o caminando","Bicicleta",F379="Ninguno, pues realicé 100% teletrabajo","No aplica",F379="Moto eléctrica","Moto eléctrica",F379="Vehículo eléctrico - Uso Individual","Vehículo eléctrico",F379="Vehículo eléctrico - Uso Compartido","Vehículo eléctrico")</f>
        <v>#NAME?</v>
      </c>
      <c r="J379" s="486">
        <v>1</v>
      </c>
      <c r="K379" s="1324" t="e">
        <f t="shared" ca="1" si="3"/>
        <v>#NAME?</v>
      </c>
      <c r="L379" s="1325">
        <f ca="1">+IFERROR(VLOOKUP(I379,'Factores Emisión EDGE'!$K$267:$L$272,2,0),0)</f>
        <v>0</v>
      </c>
      <c r="M379" s="1325" t="e">
        <f t="shared" ca="1" si="4"/>
        <v>#NAME?</v>
      </c>
      <c r="N379" s="486" t="s">
        <v>3043</v>
      </c>
      <c r="O379" s="1312"/>
      <c r="P379" s="1312"/>
    </row>
    <row r="380" spans="1:16" ht="15.75" customHeight="1">
      <c r="A380" s="1314">
        <v>44929.519683495368</v>
      </c>
      <c r="B380" s="1310" t="s">
        <v>2182</v>
      </c>
      <c r="C380" s="1310" t="s">
        <v>2183</v>
      </c>
      <c r="D380" s="1310" t="s">
        <v>3048</v>
      </c>
      <c r="E380" s="1310" t="s">
        <v>3066</v>
      </c>
      <c r="F380" s="1310" t="s">
        <v>1952</v>
      </c>
      <c r="G380" s="1326">
        <v>8</v>
      </c>
      <c r="H380" s="486" t="e">
        <f t="array" aca="1" ref="H380" ca="1">+_xludf.IFS(E380="100% Presencial",1, E380="20% Teletrabajo (4 días a la semana)",0.8,E380="40% Teletrabajo (3 días a la semana)",0.6,E380="60% Teletrabajo (2 días a la semana)",0.4,E380="80% Teletrabajo (1 día a la semana)",0.2,E380="100% Teletrabajo",0)</f>
        <v>#NAME?</v>
      </c>
      <c r="I380" s="486" t="e">
        <f t="array" aca="1" ref="I380" ca="1">+_xludf.IFS(F380="Vehículo - Uso individual","Auto",F380="Vehículo - Uso compartido","Auto",F380="Transporte público/bus de acercamiento","Bus",F380="Moto","Moto",F380="Bicicleta o caminando","Bicicleta",F380="Ninguno, pues realicé 100% teletrabajo","No aplica",F380="Moto eléctrica","Moto eléctrica",F380="Vehículo eléctrico - Uso Individual","Vehículo eléctrico",F380="Vehículo eléctrico - Uso Compartido","Vehículo eléctrico")</f>
        <v>#NAME?</v>
      </c>
      <c r="J380" s="486">
        <v>1</v>
      </c>
      <c r="K380" s="1324" t="e">
        <f t="shared" ca="1" si="3"/>
        <v>#NAME?</v>
      </c>
      <c r="L380" s="1325">
        <f ca="1">+IFERROR(VLOOKUP(I380,'Factores Emisión EDGE'!$K$267:$L$272,2,0),0)</f>
        <v>0</v>
      </c>
      <c r="M380" s="1325" t="e">
        <f t="shared" ca="1" si="4"/>
        <v>#NAME?</v>
      </c>
      <c r="N380" s="486" t="s">
        <v>3043</v>
      </c>
      <c r="O380" s="1312"/>
      <c r="P380" s="1312"/>
    </row>
    <row r="381" spans="1:16" ht="15.75" customHeight="1">
      <c r="A381" s="1314">
        <v>44929.544197013893</v>
      </c>
      <c r="B381" s="1310" t="s">
        <v>3581</v>
      </c>
      <c r="C381" s="1310" t="s">
        <v>3582</v>
      </c>
      <c r="D381" s="1310" t="s">
        <v>3133</v>
      </c>
      <c r="E381" s="1310" t="s">
        <v>3042</v>
      </c>
      <c r="F381" s="1310" t="s">
        <v>1952</v>
      </c>
      <c r="G381" s="1326">
        <v>8</v>
      </c>
      <c r="H381" s="486" t="e">
        <f t="array" aca="1" ref="H381" ca="1">+_xludf.IFS(E381="100% Presencial",1, E381="20% Teletrabajo (4 días a la semana)",0.8,E381="40% Teletrabajo (3 días a la semana)",0.6,E381="60% Teletrabajo (2 días a la semana)",0.4,E381="80% Teletrabajo (1 día a la semana)",0.2,E381="100% Teletrabajo",0)</f>
        <v>#NAME?</v>
      </c>
      <c r="I381" s="486" t="e">
        <f t="array" aca="1" ref="I381" ca="1">+_xludf.IFS(F381="Vehículo - Uso individual","Auto",F381="Vehículo - Uso compartido","Auto",F381="Transporte público/bus de acercamiento","Bus",F381="Moto","Moto",F381="Bicicleta o caminando","Bicicleta",F381="Ninguno, pues realicé 100% teletrabajo","No aplica",F381="Moto eléctrica","Moto eléctrica",F381="Vehículo eléctrico - Uso Individual","Vehículo eléctrico",F381="Vehículo eléctrico - Uso Compartido","Vehículo eléctrico")</f>
        <v>#NAME?</v>
      </c>
      <c r="J381" s="486">
        <v>1</v>
      </c>
      <c r="K381" s="1324" t="e">
        <f t="shared" ca="1" si="3"/>
        <v>#NAME?</v>
      </c>
      <c r="L381" s="1325">
        <f ca="1">+IFERROR(VLOOKUP(I381,'Factores Emisión EDGE'!$K$267:$L$272,2,0),0)</f>
        <v>0</v>
      </c>
      <c r="M381" s="1325" t="e">
        <f t="shared" ca="1" si="4"/>
        <v>#NAME?</v>
      </c>
      <c r="N381" s="486" t="s">
        <v>3043</v>
      </c>
      <c r="O381" s="1312"/>
      <c r="P381" s="1312"/>
    </row>
    <row r="382" spans="1:16" ht="15.75" customHeight="1">
      <c r="A382" s="1314">
        <v>44929.549262500004</v>
      </c>
      <c r="B382" s="1310" t="s">
        <v>2751</v>
      </c>
      <c r="C382" s="1310" t="s">
        <v>2752</v>
      </c>
      <c r="D382" s="1310" t="s">
        <v>3048</v>
      </c>
      <c r="E382" s="1310" t="s">
        <v>3066</v>
      </c>
      <c r="F382" s="1310" t="s">
        <v>1952</v>
      </c>
      <c r="G382" s="1326">
        <v>8</v>
      </c>
      <c r="H382" s="486" t="e">
        <f t="array" aca="1" ref="H382" ca="1">+_xludf.IFS(E382="100% Presencial",1, E382="20% Teletrabajo (4 días a la semana)",0.8,E382="40% Teletrabajo (3 días a la semana)",0.6,E382="60% Teletrabajo (2 días a la semana)",0.4,E382="80% Teletrabajo (1 día a la semana)",0.2,E382="100% Teletrabajo",0)</f>
        <v>#NAME?</v>
      </c>
      <c r="I382" s="486" t="e">
        <f t="array" aca="1" ref="I382" ca="1">+_xludf.IFS(F382="Vehículo - Uso individual","Auto",F382="Vehículo - Uso compartido","Auto",F382="Transporte público/bus de acercamiento","Bus",F382="Moto","Moto",F382="Bicicleta o caminando","Bicicleta",F382="Ninguno, pues realicé 100% teletrabajo","No aplica",F382="Moto eléctrica","Moto eléctrica",F382="Vehículo eléctrico - Uso Individual","Vehículo eléctrico",F382="Vehículo eléctrico - Uso Compartido","Vehículo eléctrico")</f>
        <v>#NAME?</v>
      </c>
      <c r="J382" s="486">
        <v>1</v>
      </c>
      <c r="K382" s="1324" t="e">
        <f t="shared" ca="1" si="3"/>
        <v>#NAME?</v>
      </c>
      <c r="L382" s="1325">
        <f ca="1">+IFERROR(VLOOKUP(I382,'Factores Emisión EDGE'!$K$267:$L$272,2,0),0)</f>
        <v>0</v>
      </c>
      <c r="M382" s="1325" t="e">
        <f t="shared" ca="1" si="4"/>
        <v>#NAME?</v>
      </c>
      <c r="N382" s="486" t="s">
        <v>3043</v>
      </c>
      <c r="O382" s="1312"/>
      <c r="P382" s="1312"/>
    </row>
    <row r="383" spans="1:16" ht="15.75" customHeight="1">
      <c r="A383" s="1314">
        <v>44929.723256724537</v>
      </c>
      <c r="B383" s="1310" t="s">
        <v>3583</v>
      </c>
      <c r="C383" s="1310" t="s">
        <v>3584</v>
      </c>
      <c r="D383" s="1310" t="s">
        <v>3048</v>
      </c>
      <c r="E383" s="1310" t="s">
        <v>3066</v>
      </c>
      <c r="F383" s="1310" t="s">
        <v>3055</v>
      </c>
      <c r="G383" s="1326">
        <v>8</v>
      </c>
      <c r="H383" s="486" t="e">
        <f t="array" aca="1" ref="H383" ca="1">+_xludf.IFS(E383="100% Presencial",1, E383="20% Teletrabajo (4 días a la semana)",0.8,E383="40% Teletrabajo (3 días a la semana)",0.6,E383="60% Teletrabajo (2 días a la semana)",0.4,E383="80% Teletrabajo (1 día a la semana)",0.2,E383="100% Teletrabajo",0)</f>
        <v>#NAME?</v>
      </c>
      <c r="I383" s="486" t="e">
        <f t="array" aca="1" ref="I383" ca="1">+_xludf.IFS(F383="Vehículo - Uso individual","Auto",F383="Vehículo - Uso compartido","Auto",F383="Transporte público/bus de acercamiento","Bus",F383="Moto","Moto",F383="Bicicleta o caminando","Bicicleta",F383="Ninguno, pues realicé 100% teletrabajo","No aplica",F383="Moto eléctrica","Moto eléctrica",F383="Vehículo eléctrico - Uso Individual","Vehículo eléctrico",F383="Vehículo eléctrico - Uso Compartido","Vehículo eléctrico")</f>
        <v>#NAME?</v>
      </c>
      <c r="J383" s="486">
        <v>1</v>
      </c>
      <c r="K383" s="1324" t="e">
        <f t="shared" ca="1" si="3"/>
        <v>#NAME?</v>
      </c>
      <c r="L383" s="1325">
        <f ca="1">+IFERROR(VLOOKUP(I383,'Factores Emisión EDGE'!$K$267:$L$272,2,0),0)</f>
        <v>0</v>
      </c>
      <c r="M383" s="1325" t="e">
        <f t="shared" ca="1" si="4"/>
        <v>#NAME?</v>
      </c>
      <c r="N383" s="486" t="s">
        <v>3043</v>
      </c>
      <c r="O383" s="1312"/>
      <c r="P383" s="1312"/>
    </row>
    <row r="384" spans="1:16" ht="15.75" customHeight="1">
      <c r="A384" s="1314">
        <v>44936.308055081019</v>
      </c>
      <c r="B384" s="1310" t="s">
        <v>3585</v>
      </c>
      <c r="C384" s="1310" t="s">
        <v>3586</v>
      </c>
      <c r="D384" s="1310" t="s">
        <v>3080</v>
      </c>
      <c r="E384" s="1310" t="s">
        <v>3042</v>
      </c>
      <c r="F384" s="1310" t="s">
        <v>3055</v>
      </c>
      <c r="G384" s="1326">
        <v>8</v>
      </c>
      <c r="H384" s="486" t="e">
        <f t="array" aca="1" ref="H384" ca="1">+_xludf.IFS(E384="100% Presencial",1, E384="20% Teletrabajo (4 días a la semana)",0.8,E384="40% Teletrabajo (3 días a la semana)",0.6,E384="60% Teletrabajo (2 días a la semana)",0.4,E384="80% Teletrabajo (1 día a la semana)",0.2,E384="100% Teletrabajo",0)</f>
        <v>#NAME?</v>
      </c>
      <c r="I384" s="486" t="e">
        <f t="array" aca="1" ref="I384" ca="1">+_xludf.IFS(F384="Vehículo - Uso individual","Auto",F384="Vehículo - Uso compartido","Auto",F384="Transporte público/bus de acercamiento","Bus",F384="Moto","Moto",F384="Bicicleta o caminando","Bicicleta",F384="Ninguno, pues realicé 100% teletrabajo","No aplica",F384="Moto eléctrica","Moto eléctrica",F384="Vehículo eléctrico - Uso Individual","Vehículo eléctrico",F384="Vehículo eléctrico - Uso Compartido","Vehículo eléctrico")</f>
        <v>#NAME?</v>
      </c>
      <c r="J384" s="486">
        <v>1</v>
      </c>
      <c r="K384" s="1324" t="e">
        <f t="shared" ca="1" si="3"/>
        <v>#NAME?</v>
      </c>
      <c r="L384" s="1325">
        <f ca="1">+IFERROR(VLOOKUP(I384,'Factores Emisión EDGE'!$K$267:$L$272,2,0),0)</f>
        <v>0</v>
      </c>
      <c r="M384" s="1325" t="e">
        <f t="shared" ca="1" si="4"/>
        <v>#NAME?</v>
      </c>
      <c r="N384" s="486" t="s">
        <v>3043</v>
      </c>
      <c r="O384" s="1312"/>
      <c r="P384" s="1312"/>
    </row>
    <row r="385" spans="1:16" ht="15.75" customHeight="1">
      <c r="A385" s="1314">
        <v>44938.562680706018</v>
      </c>
      <c r="B385" s="1310" t="s">
        <v>3587</v>
      </c>
      <c r="C385" s="1310" t="s">
        <v>3588</v>
      </c>
      <c r="D385" s="1310" t="s">
        <v>3292</v>
      </c>
      <c r="E385" s="1310" t="s">
        <v>3042</v>
      </c>
      <c r="F385" s="1310" t="s">
        <v>3055</v>
      </c>
      <c r="G385" s="1326">
        <v>8</v>
      </c>
      <c r="H385" s="486" t="e">
        <f t="array" aca="1" ref="H385" ca="1">+_xludf.IFS(E385="100% Presencial",1, E385="20% Teletrabajo (4 días a la semana)",0.8,E385="40% Teletrabajo (3 días a la semana)",0.6,E385="60% Teletrabajo (2 días a la semana)",0.4,E385="80% Teletrabajo (1 día a la semana)",0.2,E385="100% Teletrabajo",0)</f>
        <v>#NAME?</v>
      </c>
      <c r="I385" s="486" t="e">
        <f t="array" aca="1" ref="I385" ca="1">+_xludf.IFS(F385="Vehículo - Uso individual","Auto",F385="Vehículo - Uso compartido","Auto",F385="Transporte público/bus de acercamiento","Bus",F385="Moto","Moto",F385="Bicicleta o caminando","Bicicleta",F385="Ninguno, pues realicé 100% teletrabajo","No aplica",F385="Moto eléctrica","Moto eléctrica",F385="Vehículo eléctrico - Uso Individual","Vehículo eléctrico",F385="Vehículo eléctrico - Uso Compartido","Vehículo eléctrico")</f>
        <v>#NAME?</v>
      </c>
      <c r="J385" s="486">
        <v>1</v>
      </c>
      <c r="K385" s="1324" t="e">
        <f t="shared" ca="1" si="3"/>
        <v>#NAME?</v>
      </c>
      <c r="L385" s="1325">
        <f ca="1">+IFERROR(VLOOKUP(I385,'Factores Emisión EDGE'!$K$267:$L$272,2,0),0)</f>
        <v>0</v>
      </c>
      <c r="M385" s="1325" t="e">
        <f t="shared" ca="1" si="4"/>
        <v>#NAME?</v>
      </c>
      <c r="N385" s="486" t="s">
        <v>3056</v>
      </c>
      <c r="O385" s="1312"/>
      <c r="P385" s="1312"/>
    </row>
    <row r="386" spans="1:16" ht="15.75" customHeight="1">
      <c r="A386" s="1314">
        <v>44938.694598865739</v>
      </c>
      <c r="B386" s="1310" t="s">
        <v>3589</v>
      </c>
      <c r="C386" s="1310" t="s">
        <v>3590</v>
      </c>
      <c r="D386" s="1310" t="s">
        <v>3054</v>
      </c>
      <c r="E386" s="1310" t="s">
        <v>3042</v>
      </c>
      <c r="F386" s="1310" t="s">
        <v>1952</v>
      </c>
      <c r="G386" s="1326">
        <v>8</v>
      </c>
      <c r="H386" s="486" t="e">
        <f t="array" aca="1" ref="H386" ca="1">+_xludf.IFS(E386="100% Presencial",1, E386="20% Teletrabajo (4 días a la semana)",0.8,E386="40% Teletrabajo (3 días a la semana)",0.6,E386="60% Teletrabajo (2 días a la semana)",0.4,E386="80% Teletrabajo (1 día a la semana)",0.2,E386="100% Teletrabajo",0)</f>
        <v>#NAME?</v>
      </c>
      <c r="I386" s="486" t="e">
        <f t="array" aca="1" ref="I386" ca="1">+_xludf.IFS(F386="Vehículo - Uso individual","Auto",F386="Vehículo - Uso compartido","Auto",F386="Transporte público/bus de acercamiento","Bus",F386="Moto","Moto",F386="Bicicleta o caminando","Bicicleta",F386="Ninguno, pues realicé 100% teletrabajo","No aplica",F386="Moto eléctrica","Moto eléctrica",F386="Vehículo eléctrico - Uso Individual","Vehículo eléctrico",F386="Vehículo eléctrico - Uso Compartido","Vehículo eléctrico")</f>
        <v>#NAME?</v>
      </c>
      <c r="J386" s="486">
        <v>1</v>
      </c>
      <c r="K386" s="1324" t="e">
        <f t="shared" ca="1" si="3"/>
        <v>#NAME?</v>
      </c>
      <c r="L386" s="1325">
        <f ca="1">+IFERROR(VLOOKUP(I386,'Factores Emisión EDGE'!$K$267:$L$272,2,0),0)</f>
        <v>0</v>
      </c>
      <c r="M386" s="1325" t="e">
        <f t="shared" ca="1" si="4"/>
        <v>#NAME?</v>
      </c>
      <c r="N386" s="486" t="s">
        <v>3056</v>
      </c>
      <c r="O386" s="1312"/>
      <c r="P386" s="1312"/>
    </row>
    <row r="387" spans="1:16" ht="15.75" customHeight="1">
      <c r="A387" s="1314">
        <v>44929.538930879629</v>
      </c>
      <c r="B387" s="1310" t="s">
        <v>3591</v>
      </c>
      <c r="C387" s="1310" t="s">
        <v>3592</v>
      </c>
      <c r="D387" s="1310" t="s">
        <v>3048</v>
      </c>
      <c r="E387" s="1310" t="s">
        <v>883</v>
      </c>
      <c r="F387" s="1310" t="s">
        <v>3055</v>
      </c>
      <c r="G387" s="1326">
        <v>7.6</v>
      </c>
      <c r="H387" s="486" t="e">
        <f t="array" aca="1" ref="H387" ca="1">+_xludf.IFS(E387="100% Presencial",1, E387="20% Teletrabajo (4 días a la semana)",0.8,E387="40% Teletrabajo (3 días a la semana)",0.6,E387="60% Teletrabajo (2 días a la semana)",0.4,E387="80% Teletrabajo (1 día a la semana)",0.2,E387="100% Teletrabajo",0)</f>
        <v>#NAME?</v>
      </c>
      <c r="I387" s="486" t="e">
        <f t="array" aca="1" ref="I387" ca="1">+_xludf.IFS(F387="Vehículo - Uso individual","Auto",F387="Vehículo - Uso compartido","Auto",F387="Transporte público/bus de acercamiento","Bus",F387="Moto","Moto",F387="Bicicleta o caminando","Bicicleta",F387="Ninguno, pues realicé 100% teletrabajo","No aplica",F387="Moto eléctrica","Moto eléctrica",F387="Vehículo eléctrico - Uso Individual","Vehículo eléctrico",F387="Vehículo eléctrico - Uso Compartido","Vehículo eléctrico")</f>
        <v>#NAME?</v>
      </c>
      <c r="J387" s="486">
        <v>1</v>
      </c>
      <c r="K387" s="1324" t="e">
        <f t="shared" ca="1" si="3"/>
        <v>#NAME?</v>
      </c>
      <c r="L387" s="1325">
        <f ca="1">+IFERROR(VLOOKUP(I387,'Factores Emisión EDGE'!$K$267:$L$272,2,0),0)</f>
        <v>0</v>
      </c>
      <c r="M387" s="1325" t="e">
        <f t="shared" ca="1" si="4"/>
        <v>#NAME?</v>
      </c>
      <c r="N387" s="486" t="s">
        <v>3056</v>
      </c>
      <c r="O387" s="1312"/>
      <c r="P387" s="1312"/>
    </row>
    <row r="388" spans="1:16" ht="15.75" customHeight="1">
      <c r="A388" s="1314">
        <v>44939.422300405087</v>
      </c>
      <c r="B388" s="1310" t="s">
        <v>3593</v>
      </c>
      <c r="C388" s="1310" t="s">
        <v>3594</v>
      </c>
      <c r="D388" s="1310" t="s">
        <v>3048</v>
      </c>
      <c r="E388" s="1310" t="s">
        <v>883</v>
      </c>
      <c r="F388" s="1310" t="s">
        <v>3055</v>
      </c>
      <c r="G388" s="1326">
        <v>7.3</v>
      </c>
      <c r="H388" s="486" t="e">
        <f t="array" aca="1" ref="H388" ca="1">+_xludf.IFS(E388="100% Presencial",1, E388="20% Teletrabajo (4 días a la semana)",0.8,E388="40% Teletrabajo (3 días a la semana)",0.6,E388="60% Teletrabajo (2 días a la semana)",0.4,E388="80% Teletrabajo (1 día a la semana)",0.2,E388="100% Teletrabajo",0)</f>
        <v>#NAME?</v>
      </c>
      <c r="I388" s="486" t="e">
        <f t="array" aca="1" ref="I388" ca="1">+_xludf.IFS(F388="Vehículo - Uso individual","Auto",F388="Vehículo - Uso compartido","Auto",F388="Transporte público/bus de acercamiento","Bus",F388="Moto","Moto",F388="Bicicleta o caminando","Bicicleta",F388="Ninguno, pues realicé 100% teletrabajo","No aplica",F388="Moto eléctrica","Moto eléctrica",F388="Vehículo eléctrico - Uso Individual","Vehículo eléctrico",F388="Vehículo eléctrico - Uso Compartido","Vehículo eléctrico")</f>
        <v>#NAME?</v>
      </c>
      <c r="J388" s="486">
        <v>1</v>
      </c>
      <c r="K388" s="1324" t="e">
        <f t="shared" ca="1" si="3"/>
        <v>#NAME?</v>
      </c>
      <c r="L388" s="1325">
        <f ca="1">+IFERROR(VLOOKUP(I388,'Factores Emisión EDGE'!$K$267:$L$272,2,0),0)</f>
        <v>0</v>
      </c>
      <c r="M388" s="1325" t="e">
        <f t="shared" ca="1" si="4"/>
        <v>#NAME?</v>
      </c>
      <c r="N388" s="486" t="s">
        <v>3043</v>
      </c>
      <c r="O388" s="1312"/>
      <c r="P388" s="1312"/>
    </row>
    <row r="389" spans="1:16" ht="15.75" customHeight="1">
      <c r="A389" s="1314">
        <v>44938.681003055557</v>
      </c>
      <c r="B389" s="1310" t="s">
        <v>3595</v>
      </c>
      <c r="C389" s="1310" t="s">
        <v>3596</v>
      </c>
      <c r="D389" s="1310" t="s">
        <v>3107</v>
      </c>
      <c r="E389" s="1310" t="s">
        <v>3042</v>
      </c>
      <c r="F389" s="1310" t="s">
        <v>1983</v>
      </c>
      <c r="G389" s="1326">
        <v>7.1</v>
      </c>
      <c r="H389" s="486" t="e">
        <f t="array" aca="1" ref="H389" ca="1">+_xludf.IFS(E389="100% Presencial",1, E389="20% Teletrabajo (4 días a la semana)",0.8,E389="40% Teletrabajo (3 días a la semana)",0.6,E389="60% Teletrabajo (2 días a la semana)",0.4,E389="80% Teletrabajo (1 día a la semana)",0.2,E389="100% Teletrabajo",0)</f>
        <v>#NAME?</v>
      </c>
      <c r="I389" s="486" t="e">
        <f t="array" aca="1" ref="I389" ca="1">+_xludf.IFS(F389="Vehículo - Uso individual","Auto",F389="Vehículo - Uso compartido","Auto",F389="Transporte público/bus de acercamiento","Bus",F389="Moto","Moto",F389="Bicicleta o caminando","Bicicleta",F389="Ninguno, pues realicé 100% teletrabajo","No aplica",F389="Moto eléctrica","Moto eléctrica",F389="Vehículo eléctrico - Uso Individual","Vehículo eléctrico",F389="Vehículo eléctrico - Uso Compartido","Vehículo eléctrico")</f>
        <v>#NAME?</v>
      </c>
      <c r="J389" s="486">
        <v>1</v>
      </c>
      <c r="K389" s="1324" t="e">
        <f t="shared" ca="1" si="3"/>
        <v>#NAME?</v>
      </c>
      <c r="L389" s="1325">
        <f ca="1">+IFERROR(VLOOKUP(I389,'Factores Emisión EDGE'!$K$267:$L$272,2,0),0)</f>
        <v>0</v>
      </c>
      <c r="M389" s="1325" t="e">
        <f t="shared" ca="1" si="4"/>
        <v>#NAME?</v>
      </c>
      <c r="N389" s="486" t="s">
        <v>3056</v>
      </c>
      <c r="O389" s="1312"/>
      <c r="P389" s="1312"/>
    </row>
    <row r="390" spans="1:16" ht="15.75" customHeight="1">
      <c r="A390" s="1314">
        <v>44929.527635393519</v>
      </c>
      <c r="B390" s="1310" t="s">
        <v>3597</v>
      </c>
      <c r="C390" s="1310" t="s">
        <v>3598</v>
      </c>
      <c r="D390" s="1310" t="s">
        <v>3054</v>
      </c>
      <c r="E390" s="1310" t="s">
        <v>3042</v>
      </c>
      <c r="F390" s="1310" t="s">
        <v>1995</v>
      </c>
      <c r="G390" s="1326">
        <v>7</v>
      </c>
      <c r="H390" s="486" t="e">
        <f t="array" aca="1" ref="H390" ca="1">+_xludf.IFS(E390="100% Presencial",1, E390="20% Teletrabajo (4 días a la semana)",0.8,E390="40% Teletrabajo (3 días a la semana)",0.6,E390="60% Teletrabajo (2 días a la semana)",0.4,E390="80% Teletrabajo (1 día a la semana)",0.2,E390="100% Teletrabajo",0)</f>
        <v>#NAME?</v>
      </c>
      <c r="I390" s="486" t="e">
        <f t="array" aca="1" ref="I390" ca="1">+_xludf.IFS(F390="Vehículo - Uso individual","Auto",F390="Vehículo - Uso compartido","Auto",F390="Transporte público/bus de acercamiento","Bus",F390="Moto","Moto",F390="Bicicleta o caminando","Bicicleta",F390="Ninguno, pues realicé 100% teletrabajo","No aplica",F390="Moto eléctrica","Moto eléctrica",F390="Vehículo eléctrico - Uso Individual","Vehículo eléctrico",F390="Vehículo eléctrico - Uso Compartido","Vehículo eléctrico")</f>
        <v>#NAME?</v>
      </c>
      <c r="J390" s="486">
        <v>0.25</v>
      </c>
      <c r="K390" s="1324" t="e">
        <f t="shared" ca="1" si="3"/>
        <v>#NAME?</v>
      </c>
      <c r="L390" s="1325">
        <f ca="1">+IFERROR(VLOOKUP(I390,'Factores Emisión EDGE'!$K$267:$L$272,2,0),0)</f>
        <v>0</v>
      </c>
      <c r="M390" s="1325" t="e">
        <f t="shared" ca="1" si="4"/>
        <v>#NAME?</v>
      </c>
      <c r="N390" s="486" t="s">
        <v>3043</v>
      </c>
      <c r="O390" s="1312"/>
      <c r="P390" s="1312"/>
    </row>
    <row r="391" spans="1:16" ht="15.75" customHeight="1">
      <c r="A391" s="1314">
        <v>44930.480964282411</v>
      </c>
      <c r="B391" s="1310" t="s">
        <v>3599</v>
      </c>
      <c r="C391" s="1310" t="s">
        <v>3600</v>
      </c>
      <c r="D391" s="1310" t="s">
        <v>3292</v>
      </c>
      <c r="E391" s="1310" t="s">
        <v>3042</v>
      </c>
      <c r="F391" s="1310" t="s">
        <v>1952</v>
      </c>
      <c r="G391" s="1326">
        <v>7</v>
      </c>
      <c r="H391" s="486" t="e">
        <f t="array" aca="1" ref="H391" ca="1">+_xludf.IFS(E391="100% Presencial",1, E391="20% Teletrabajo (4 días a la semana)",0.8,E391="40% Teletrabajo (3 días a la semana)",0.6,E391="60% Teletrabajo (2 días a la semana)",0.4,E391="80% Teletrabajo (1 día a la semana)",0.2,E391="100% Teletrabajo",0)</f>
        <v>#NAME?</v>
      </c>
      <c r="I391" s="486" t="e">
        <f t="array" aca="1" ref="I391" ca="1">+_xludf.IFS(F391="Vehículo - Uso individual","Auto",F391="Vehículo - Uso compartido","Auto",F391="Transporte público/bus de acercamiento","Bus",F391="Moto","Moto",F391="Bicicleta o caminando","Bicicleta",F391="Ninguno, pues realicé 100% teletrabajo","No aplica",F391="Moto eléctrica","Moto eléctrica",F391="Vehículo eléctrico - Uso Individual","Vehículo eléctrico",F391="Vehículo eléctrico - Uso Compartido","Vehículo eléctrico")</f>
        <v>#NAME?</v>
      </c>
      <c r="J391" s="486">
        <v>1</v>
      </c>
      <c r="K391" s="1324" t="e">
        <f t="shared" ca="1" si="3"/>
        <v>#NAME?</v>
      </c>
      <c r="L391" s="1325">
        <f ca="1">+IFERROR(VLOOKUP(I391,'Factores Emisión EDGE'!$K$267:$L$272,2,0),0)</f>
        <v>0</v>
      </c>
      <c r="M391" s="1325" t="e">
        <f t="shared" ca="1" si="4"/>
        <v>#NAME?</v>
      </c>
      <c r="N391" s="486" t="s">
        <v>3056</v>
      </c>
      <c r="O391" s="1312"/>
      <c r="P391" s="1312"/>
    </row>
    <row r="392" spans="1:16" ht="15.75" customHeight="1">
      <c r="A392" s="1314">
        <v>44930.564238333332</v>
      </c>
      <c r="B392" s="1310" t="s">
        <v>3601</v>
      </c>
      <c r="C392" s="1310" t="s">
        <v>3602</v>
      </c>
      <c r="D392" s="1310" t="s">
        <v>3107</v>
      </c>
      <c r="E392" s="1310" t="s">
        <v>3049</v>
      </c>
      <c r="F392" s="1310" t="s">
        <v>1995</v>
      </c>
      <c r="G392" s="1326">
        <v>7</v>
      </c>
      <c r="H392" s="486" t="e">
        <f t="array" aca="1" ref="H392" ca="1">+_xludf.IFS(E392="100% Presencial",1, E392="20% Teletrabajo (4 días a la semana)",0.8,E392="40% Teletrabajo (3 días a la semana)",0.6,E392="60% Teletrabajo (2 días a la semana)",0.4,E392="80% Teletrabajo (1 día a la semana)",0.2,E392="100% Teletrabajo",0)</f>
        <v>#NAME?</v>
      </c>
      <c r="I392" s="486" t="e">
        <f t="array" aca="1" ref="I392" ca="1">+_xludf.IFS(F392="Vehículo - Uso individual","Auto",F392="Vehículo - Uso compartido","Auto",F392="Transporte público/bus de acercamiento","Bus",F392="Moto","Moto",F392="Bicicleta o caminando","Bicicleta",F392="Ninguno, pues realicé 100% teletrabajo","No aplica",F392="Moto eléctrica","Moto eléctrica",F392="Vehículo eléctrico - Uso Individual","Vehículo eléctrico",F392="Vehículo eléctrico - Uso Compartido","Vehículo eléctrico")</f>
        <v>#NAME?</v>
      </c>
      <c r="J392" s="486">
        <v>0.25</v>
      </c>
      <c r="K392" s="1324" t="e">
        <f t="shared" ca="1" si="3"/>
        <v>#NAME?</v>
      </c>
      <c r="L392" s="1325">
        <f ca="1">+IFERROR(VLOOKUP(I392,'Factores Emisión EDGE'!$K$267:$L$272,2,0),0)</f>
        <v>0</v>
      </c>
      <c r="M392" s="1325" t="e">
        <f t="shared" ca="1" si="4"/>
        <v>#NAME?</v>
      </c>
      <c r="N392" s="486" t="s">
        <v>3056</v>
      </c>
      <c r="O392" s="1312"/>
      <c r="P392" s="1312"/>
    </row>
    <row r="393" spans="1:16" ht="15.75" customHeight="1">
      <c r="A393" s="1314">
        <v>44939.380957465277</v>
      </c>
      <c r="B393" s="1310" t="s">
        <v>2067</v>
      </c>
      <c r="C393" s="1310" t="s">
        <v>2068</v>
      </c>
      <c r="D393" s="1310" t="s">
        <v>3048</v>
      </c>
      <c r="E393" s="1310" t="s">
        <v>885</v>
      </c>
      <c r="F393" s="1310" t="s">
        <v>1995</v>
      </c>
      <c r="G393" s="1326">
        <v>7</v>
      </c>
      <c r="H393" s="486" t="e">
        <f t="array" aca="1" ref="H393" ca="1">+_xludf.IFS(E393="100% Presencial",1, E393="20% Teletrabajo (4 días a la semana)",0.8,E393="40% Teletrabajo (3 días a la semana)",0.6,E393="60% Teletrabajo (2 días a la semana)",0.4,E393="80% Teletrabajo (1 día a la semana)",0.2,E393="100% Teletrabajo",0)</f>
        <v>#NAME?</v>
      </c>
      <c r="I393" s="486" t="e">
        <f t="array" aca="1" ref="I393" ca="1">+_xludf.IFS(F393="Vehículo - Uso individual","Auto",F393="Vehículo - Uso compartido","Auto",F393="Transporte público/bus de acercamiento","Bus",F393="Moto","Moto",F393="Bicicleta o caminando","Bicicleta",F393="Ninguno, pues realicé 100% teletrabajo","No aplica",F393="Moto eléctrica","Moto eléctrica",F393="Vehículo eléctrico - Uso Individual","Vehículo eléctrico",F393="Vehículo eléctrico - Uso Compartido","Vehículo eléctrico")</f>
        <v>#NAME?</v>
      </c>
      <c r="J393" s="486">
        <v>0.25</v>
      </c>
      <c r="K393" s="1324" t="e">
        <f t="shared" ca="1" si="3"/>
        <v>#NAME?</v>
      </c>
      <c r="L393" s="1325">
        <f ca="1">+IFERROR(VLOOKUP(I393,'Factores Emisión EDGE'!$K$267:$L$272,2,0),0)</f>
        <v>0</v>
      </c>
      <c r="M393" s="1325" t="e">
        <f t="shared" ca="1" si="4"/>
        <v>#NAME?</v>
      </c>
      <c r="N393" s="486" t="s">
        <v>3043</v>
      </c>
      <c r="O393" s="1312"/>
      <c r="P393" s="1312"/>
    </row>
    <row r="394" spans="1:16" ht="15.75" customHeight="1">
      <c r="A394" s="1314">
        <v>44939.457663194444</v>
      </c>
      <c r="B394" s="1310" t="s">
        <v>3603</v>
      </c>
      <c r="C394" s="1310" t="s">
        <v>3604</v>
      </c>
      <c r="D394" s="1310" t="s">
        <v>3265</v>
      </c>
      <c r="E394" s="1310" t="s">
        <v>3042</v>
      </c>
      <c r="F394" s="1310" t="s">
        <v>1952</v>
      </c>
      <c r="G394" s="1326">
        <v>7</v>
      </c>
      <c r="H394" s="486" t="e">
        <f t="array" aca="1" ref="H394" ca="1">+_xludf.IFS(E394="100% Presencial",1, E394="20% Teletrabajo (4 días a la semana)",0.8,E394="40% Teletrabajo (3 días a la semana)",0.6,E394="60% Teletrabajo (2 días a la semana)",0.4,E394="80% Teletrabajo (1 día a la semana)",0.2,E394="100% Teletrabajo",0)</f>
        <v>#NAME?</v>
      </c>
      <c r="I394" s="486" t="e">
        <f t="array" aca="1" ref="I394" ca="1">+_xludf.IFS(F394="Vehículo - Uso individual","Auto",F394="Vehículo - Uso compartido","Auto",F394="Transporte público/bus de acercamiento","Bus",F394="Moto","Moto",F394="Bicicleta o caminando","Bicicleta",F394="Ninguno, pues realicé 100% teletrabajo","No aplica",F394="Moto eléctrica","Moto eléctrica",F394="Vehículo eléctrico - Uso Individual","Vehículo eléctrico",F394="Vehículo eléctrico - Uso Compartido","Vehículo eléctrico")</f>
        <v>#NAME?</v>
      </c>
      <c r="J394" s="486">
        <v>1</v>
      </c>
      <c r="K394" s="1324" t="e">
        <f t="shared" ca="1" si="3"/>
        <v>#NAME?</v>
      </c>
      <c r="L394" s="1325">
        <f ca="1">+IFERROR(VLOOKUP(I394,'Factores Emisión EDGE'!$K$267:$L$272,2,0),0)</f>
        <v>0</v>
      </c>
      <c r="M394" s="1325" t="e">
        <f t="shared" ca="1" si="4"/>
        <v>#NAME?</v>
      </c>
      <c r="N394" s="486" t="s">
        <v>3043</v>
      </c>
      <c r="O394" s="1312"/>
      <c r="P394" s="1312"/>
    </row>
    <row r="395" spans="1:16" ht="15.75" customHeight="1">
      <c r="A395" s="1314">
        <v>44933.476217268515</v>
      </c>
      <c r="B395" s="1310" t="s">
        <v>3605</v>
      </c>
      <c r="C395" s="1310" t="s">
        <v>3606</v>
      </c>
      <c r="D395" s="1310" t="s">
        <v>3048</v>
      </c>
      <c r="E395" s="1310" t="s">
        <v>3042</v>
      </c>
      <c r="F395" s="1310" t="s">
        <v>3055</v>
      </c>
      <c r="G395" s="1326">
        <v>7</v>
      </c>
      <c r="H395" s="486" t="e">
        <f t="array" aca="1" ref="H395" ca="1">+_xludf.IFS(E395="100% Presencial",1, E395="20% Teletrabajo (4 días a la semana)",0.8,E395="40% Teletrabajo (3 días a la semana)",0.6,E395="60% Teletrabajo (2 días a la semana)",0.4,E395="80% Teletrabajo (1 día a la semana)",0.2,E395="100% Teletrabajo",0)</f>
        <v>#NAME?</v>
      </c>
      <c r="I395" s="486" t="e">
        <f t="array" aca="1" ref="I395" ca="1">+_xludf.IFS(F395="Vehículo - Uso individual","Auto",F395="Vehículo - Uso compartido","Auto",F395="Transporte público/bus de acercamiento","Bus",F395="Moto","Moto",F395="Bicicleta o caminando","Bicicleta",F395="Ninguno, pues realicé 100% teletrabajo","No aplica",F395="Moto eléctrica","Moto eléctrica",F395="Vehículo eléctrico - Uso Individual","Vehículo eléctrico",F395="Vehículo eléctrico - Uso Compartido","Vehículo eléctrico")</f>
        <v>#NAME?</v>
      </c>
      <c r="J395" s="486">
        <v>1</v>
      </c>
      <c r="K395" s="1324" t="e">
        <f t="shared" ca="1" si="3"/>
        <v>#NAME?</v>
      </c>
      <c r="L395" s="1325">
        <f ca="1">+IFERROR(VLOOKUP(I395,'Factores Emisión EDGE'!$K$267:$L$272,2,0),0)</f>
        <v>0</v>
      </c>
      <c r="M395" s="1325" t="e">
        <f t="shared" ca="1" si="4"/>
        <v>#NAME?</v>
      </c>
      <c r="N395" s="486" t="s">
        <v>3056</v>
      </c>
      <c r="O395" s="1312"/>
      <c r="P395" s="1312"/>
    </row>
    <row r="396" spans="1:16" ht="15.75" customHeight="1">
      <c r="A396" s="1314">
        <v>44936.663449375003</v>
      </c>
      <c r="B396" s="1310" t="s">
        <v>3607</v>
      </c>
      <c r="C396" s="1310" t="s">
        <v>3608</v>
      </c>
      <c r="D396" s="1310" t="s">
        <v>3060</v>
      </c>
      <c r="E396" s="1310" t="s">
        <v>3042</v>
      </c>
      <c r="F396" s="1310" t="s">
        <v>863</v>
      </c>
      <c r="G396" s="1326">
        <v>7</v>
      </c>
      <c r="H396" s="486" t="e">
        <f t="array" aca="1" ref="H396" ca="1">+_xludf.IFS(E396="100% Presencial",1, E396="20% Teletrabajo (4 días a la semana)",0.8,E396="40% Teletrabajo (3 días a la semana)",0.6,E396="60% Teletrabajo (2 días a la semana)",0.4,E396="80% Teletrabajo (1 día a la semana)",0.2,E396="100% Teletrabajo",0)</f>
        <v>#NAME?</v>
      </c>
      <c r="I396" s="486" t="e">
        <f t="array" aca="1" ref="I396" ca="1">+_xludf.IFS(F396="Vehículo - Uso individual","Auto",F396="Vehículo - Uso compartido","Auto",F396="Transporte público/bus de acercamiento","Bus",F396="Moto","Moto",F396="Bicicleta o caminando","Bicicleta",F396="Ninguno, pues realicé 100% teletrabajo","No aplica",F396="Moto eléctrica","Moto eléctrica",F396="Vehículo eléctrico - Uso Individual","Vehículo eléctrico",F396="Vehículo eléctrico - Uso Compartido","Vehículo eléctrico")</f>
        <v>#NAME?</v>
      </c>
      <c r="J396" s="486">
        <v>1</v>
      </c>
      <c r="K396" s="1324" t="e">
        <f t="shared" ca="1" si="3"/>
        <v>#NAME?</v>
      </c>
      <c r="L396" s="1325">
        <f ca="1">+IFERROR(VLOOKUP(I396,'Factores Emisión EDGE'!$K$267:$L$272,2,0),0)</f>
        <v>0</v>
      </c>
      <c r="M396" s="1325" t="e">
        <f t="shared" ca="1" si="4"/>
        <v>#NAME?</v>
      </c>
      <c r="N396" s="486" t="s">
        <v>3043</v>
      </c>
      <c r="O396" s="1312"/>
      <c r="P396" s="1312"/>
    </row>
    <row r="397" spans="1:16" ht="15.75" customHeight="1">
      <c r="A397" s="1314">
        <v>44937.581181643516</v>
      </c>
      <c r="B397" s="1310" t="s">
        <v>3609</v>
      </c>
      <c r="C397" s="1310" t="s">
        <v>2597</v>
      </c>
      <c r="D397" s="1310" t="s">
        <v>3046</v>
      </c>
      <c r="E397" s="1310" t="s">
        <v>3042</v>
      </c>
      <c r="F397" s="1310" t="s">
        <v>1952</v>
      </c>
      <c r="G397" s="1326">
        <v>7</v>
      </c>
      <c r="H397" s="486" t="e">
        <f t="array" aca="1" ref="H397" ca="1">+_xludf.IFS(E397="100% Presencial",1, E397="20% Teletrabajo (4 días a la semana)",0.8,E397="40% Teletrabajo (3 días a la semana)",0.6,E397="60% Teletrabajo (2 días a la semana)",0.4,E397="80% Teletrabajo (1 día a la semana)",0.2,E397="100% Teletrabajo",0)</f>
        <v>#NAME?</v>
      </c>
      <c r="I397" s="486" t="e">
        <f t="array" aca="1" ref="I397" ca="1">+_xludf.IFS(F397="Vehículo - Uso individual","Auto",F397="Vehículo - Uso compartido","Auto",F397="Transporte público/bus de acercamiento","Bus",F397="Moto","Moto",F397="Bicicleta o caminando","Bicicleta",F397="Ninguno, pues realicé 100% teletrabajo","No aplica",F397="Moto eléctrica","Moto eléctrica",F397="Vehículo eléctrico - Uso Individual","Vehículo eléctrico",F397="Vehículo eléctrico - Uso Compartido","Vehículo eléctrico")</f>
        <v>#NAME?</v>
      </c>
      <c r="J397" s="486">
        <v>1</v>
      </c>
      <c r="K397" s="1324" t="e">
        <f t="shared" ca="1" si="3"/>
        <v>#NAME?</v>
      </c>
      <c r="L397" s="1325">
        <f ca="1">+IFERROR(VLOOKUP(I397,'Factores Emisión EDGE'!$K$267:$L$272,2,0),0)</f>
        <v>0</v>
      </c>
      <c r="M397" s="1325" t="e">
        <f t="shared" ca="1" si="4"/>
        <v>#NAME?</v>
      </c>
      <c r="N397" s="486" t="s">
        <v>3043</v>
      </c>
      <c r="O397" s="1312"/>
      <c r="P397" s="1312"/>
    </row>
    <row r="398" spans="1:16" ht="15.75" customHeight="1">
      <c r="A398" s="1314">
        <v>44930.490798506944</v>
      </c>
      <c r="B398" s="1310" t="s">
        <v>3610</v>
      </c>
      <c r="C398" s="1310" t="s">
        <v>2719</v>
      </c>
      <c r="D398" s="1310" t="s">
        <v>3048</v>
      </c>
      <c r="E398" s="1310" t="s">
        <v>3042</v>
      </c>
      <c r="F398" s="1310" t="s">
        <v>1983</v>
      </c>
      <c r="G398" s="1326">
        <v>7</v>
      </c>
      <c r="H398" s="486" t="e">
        <f t="array" aca="1" ref="H398" ca="1">+_xludf.IFS(E398="100% Presencial",1, E398="20% Teletrabajo (4 días a la semana)",0.8,E398="40% Teletrabajo (3 días a la semana)",0.6,E398="60% Teletrabajo (2 días a la semana)",0.4,E398="80% Teletrabajo (1 día a la semana)",0.2,E398="100% Teletrabajo",0)</f>
        <v>#NAME?</v>
      </c>
      <c r="I398" s="486" t="e">
        <f t="array" aca="1" ref="I398" ca="1">+_xludf.IFS(F398="Vehículo - Uso individual","Auto",F398="Vehículo - Uso compartido","Auto",F398="Transporte público/bus de acercamiento","Bus",F398="Moto","Moto",F398="Bicicleta o caminando","Bicicleta",F398="Ninguno, pues realicé 100% teletrabajo","No aplica",F398="Moto eléctrica","Moto eléctrica",F398="Vehículo eléctrico - Uso Individual","Vehículo eléctrico",F398="Vehículo eléctrico - Uso Compartido","Vehículo eléctrico")</f>
        <v>#NAME?</v>
      </c>
      <c r="J398" s="486">
        <v>1</v>
      </c>
      <c r="K398" s="1324" t="e">
        <f t="shared" ca="1" si="3"/>
        <v>#NAME?</v>
      </c>
      <c r="L398" s="1325">
        <f ca="1">+IFERROR(VLOOKUP(I398,'Factores Emisión EDGE'!$K$267:$L$272,2,0),0)</f>
        <v>0</v>
      </c>
      <c r="M398" s="1325" t="e">
        <f t="shared" ca="1" si="4"/>
        <v>#NAME?</v>
      </c>
      <c r="N398" s="486" t="s">
        <v>3056</v>
      </c>
      <c r="O398" s="1312"/>
      <c r="P398" s="1312"/>
    </row>
    <row r="399" spans="1:16" ht="15.75" customHeight="1">
      <c r="A399" s="1314">
        <v>44936.712143368059</v>
      </c>
      <c r="B399" s="1310" t="s">
        <v>3611</v>
      </c>
      <c r="C399" s="1310" t="s">
        <v>3612</v>
      </c>
      <c r="D399" s="1310" t="s">
        <v>3048</v>
      </c>
      <c r="E399" s="1310" t="s">
        <v>3042</v>
      </c>
      <c r="F399" s="1310" t="s">
        <v>1983</v>
      </c>
      <c r="G399" s="1326">
        <v>7</v>
      </c>
      <c r="H399" s="486" t="e">
        <f t="array" aca="1" ref="H399" ca="1">+_xludf.IFS(E399="100% Presencial",1, E399="20% Teletrabajo (4 días a la semana)",0.8,E399="40% Teletrabajo (3 días a la semana)",0.6,E399="60% Teletrabajo (2 días a la semana)",0.4,E399="80% Teletrabajo (1 día a la semana)",0.2,E399="100% Teletrabajo",0)</f>
        <v>#NAME?</v>
      </c>
      <c r="I399" s="486" t="e">
        <f t="array" aca="1" ref="I399" ca="1">+_xludf.IFS(F399="Vehículo - Uso individual","Auto",F399="Vehículo - Uso compartido","Auto",F399="Transporte público/bus de acercamiento","Bus",F399="Moto","Moto",F399="Bicicleta o caminando","Bicicleta",F399="Ninguno, pues realicé 100% teletrabajo","No aplica",F399="Moto eléctrica","Moto eléctrica",F399="Vehículo eléctrico - Uso Individual","Vehículo eléctrico",F399="Vehículo eléctrico - Uso Compartido","Vehículo eléctrico")</f>
        <v>#NAME?</v>
      </c>
      <c r="J399" s="486">
        <v>1</v>
      </c>
      <c r="K399" s="1324" t="e">
        <f t="shared" ca="1" si="3"/>
        <v>#NAME?</v>
      </c>
      <c r="L399" s="1325">
        <f ca="1">+IFERROR(VLOOKUP(I399,'Factores Emisión EDGE'!$K$267:$L$272,2,0),0)</f>
        <v>0</v>
      </c>
      <c r="M399" s="1325" t="e">
        <f t="shared" ca="1" si="4"/>
        <v>#NAME?</v>
      </c>
      <c r="N399" s="486" t="s">
        <v>3043</v>
      </c>
      <c r="O399" s="1312"/>
      <c r="P399" s="1312"/>
    </row>
    <row r="400" spans="1:16" ht="15.75" customHeight="1">
      <c r="A400" s="1314">
        <v>44929.484277777781</v>
      </c>
      <c r="B400" s="1310" t="s">
        <v>1973</v>
      </c>
      <c r="C400" s="1310" t="s">
        <v>1974</v>
      </c>
      <c r="D400" s="1310" t="s">
        <v>3107</v>
      </c>
      <c r="E400" s="1310" t="s">
        <v>3042</v>
      </c>
      <c r="F400" s="1310" t="s">
        <v>1952</v>
      </c>
      <c r="G400" s="1326">
        <v>7</v>
      </c>
      <c r="H400" s="486" t="e">
        <f t="array" aca="1" ref="H400" ca="1">+_xludf.IFS(E400="100% Presencial",1, E400="20% Teletrabajo (4 días a la semana)",0.8,E400="40% Teletrabajo (3 días a la semana)",0.6,E400="60% Teletrabajo (2 días a la semana)",0.4,E400="80% Teletrabajo (1 día a la semana)",0.2,E400="100% Teletrabajo",0)</f>
        <v>#NAME?</v>
      </c>
      <c r="I400" s="486" t="e">
        <f t="array" aca="1" ref="I400" ca="1">+_xludf.IFS(F400="Vehículo - Uso individual","Auto",F400="Vehículo - Uso compartido","Auto",F400="Transporte público/bus de acercamiento","Bus",F400="Moto","Moto",F400="Bicicleta o caminando","Bicicleta",F400="Ninguno, pues realicé 100% teletrabajo","No aplica",F400="Moto eléctrica","Moto eléctrica",F400="Vehículo eléctrico - Uso Individual","Vehículo eléctrico",F400="Vehículo eléctrico - Uso Compartido","Vehículo eléctrico")</f>
        <v>#NAME?</v>
      </c>
      <c r="J400" s="486">
        <v>1</v>
      </c>
      <c r="K400" s="1324" t="e">
        <f t="shared" ca="1" si="3"/>
        <v>#NAME?</v>
      </c>
      <c r="L400" s="1325">
        <f ca="1">+IFERROR(VLOOKUP(I400,'Factores Emisión EDGE'!$K$267:$L$272,2,0),0)</f>
        <v>0</v>
      </c>
      <c r="M400" s="1325" t="e">
        <f t="shared" ca="1" si="4"/>
        <v>#NAME?</v>
      </c>
      <c r="N400" s="486" t="s">
        <v>3043</v>
      </c>
      <c r="O400" s="1312"/>
      <c r="P400" s="1312"/>
    </row>
    <row r="401" spans="1:16" ht="15.75" customHeight="1">
      <c r="A401" s="1314">
        <v>44929.507577766199</v>
      </c>
      <c r="B401" s="1310" t="s">
        <v>3613</v>
      </c>
      <c r="C401" s="1310" t="s">
        <v>2796</v>
      </c>
      <c r="D401" s="1310" t="s">
        <v>3048</v>
      </c>
      <c r="E401" s="1310" t="s">
        <v>3066</v>
      </c>
      <c r="F401" s="1310" t="s">
        <v>3055</v>
      </c>
      <c r="G401" s="1326">
        <v>7</v>
      </c>
      <c r="H401" s="486" t="e">
        <f t="array" aca="1" ref="H401" ca="1">+_xludf.IFS(E401="100% Presencial",1, E401="20% Teletrabajo (4 días a la semana)",0.8,E401="40% Teletrabajo (3 días a la semana)",0.6,E401="60% Teletrabajo (2 días a la semana)",0.4,E401="80% Teletrabajo (1 día a la semana)",0.2,E401="100% Teletrabajo",0)</f>
        <v>#NAME?</v>
      </c>
      <c r="I401" s="486" t="e">
        <f t="array" aca="1" ref="I401" ca="1">+_xludf.IFS(F401="Vehículo - Uso individual","Auto",F401="Vehículo - Uso compartido","Auto",F401="Transporte público/bus de acercamiento","Bus",F401="Moto","Moto",F401="Bicicleta o caminando","Bicicleta",F401="Ninguno, pues realicé 100% teletrabajo","No aplica",F401="Moto eléctrica","Moto eléctrica",F401="Vehículo eléctrico - Uso Individual","Vehículo eléctrico",F401="Vehículo eléctrico - Uso Compartido","Vehículo eléctrico")</f>
        <v>#NAME?</v>
      </c>
      <c r="J401" s="486">
        <v>1</v>
      </c>
      <c r="K401" s="1324" t="e">
        <f t="shared" ca="1" si="3"/>
        <v>#NAME?</v>
      </c>
      <c r="L401" s="1325">
        <f ca="1">+IFERROR(VLOOKUP(I401,'Factores Emisión EDGE'!$K$267:$L$272,2,0),0)</f>
        <v>0</v>
      </c>
      <c r="M401" s="1325" t="e">
        <f t="shared" ca="1" si="4"/>
        <v>#NAME?</v>
      </c>
      <c r="N401" s="486" t="s">
        <v>3043</v>
      </c>
      <c r="O401" s="1312"/>
      <c r="P401" s="1312"/>
    </row>
    <row r="402" spans="1:16" ht="15.75" customHeight="1">
      <c r="A402" s="1314">
        <v>44929.535041168987</v>
      </c>
      <c r="B402" s="1310" t="s">
        <v>3614</v>
      </c>
      <c r="C402" s="1310" t="s">
        <v>2727</v>
      </c>
      <c r="D402" s="1310" t="s">
        <v>3048</v>
      </c>
      <c r="E402" s="1310" t="s">
        <v>3042</v>
      </c>
      <c r="F402" s="1310" t="s">
        <v>1952</v>
      </c>
      <c r="G402" s="1326">
        <v>7</v>
      </c>
      <c r="H402" s="486" t="e">
        <f t="array" aca="1" ref="H402" ca="1">+_xludf.IFS(E402="100% Presencial",1, E402="20% Teletrabajo (4 días a la semana)",0.8,E402="40% Teletrabajo (3 días a la semana)",0.6,E402="60% Teletrabajo (2 días a la semana)",0.4,E402="80% Teletrabajo (1 día a la semana)",0.2,E402="100% Teletrabajo",0)</f>
        <v>#NAME?</v>
      </c>
      <c r="I402" s="486" t="e">
        <f t="array" aca="1" ref="I402" ca="1">+_xludf.IFS(F402="Vehículo - Uso individual","Auto",F402="Vehículo - Uso compartido","Auto",F402="Transporte público/bus de acercamiento","Bus",F402="Moto","Moto",F402="Bicicleta o caminando","Bicicleta",F402="Ninguno, pues realicé 100% teletrabajo","No aplica",F402="Moto eléctrica","Moto eléctrica",F402="Vehículo eléctrico - Uso Individual","Vehículo eléctrico",F402="Vehículo eléctrico - Uso Compartido","Vehículo eléctrico")</f>
        <v>#NAME?</v>
      </c>
      <c r="J402" s="486">
        <v>1</v>
      </c>
      <c r="K402" s="1324" t="e">
        <f t="shared" ca="1" si="3"/>
        <v>#NAME?</v>
      </c>
      <c r="L402" s="1325">
        <f ca="1">+IFERROR(VLOOKUP(I402,'Factores Emisión EDGE'!$K$267:$L$272,2,0),0)</f>
        <v>0</v>
      </c>
      <c r="M402" s="1325" t="e">
        <f t="shared" ca="1" si="4"/>
        <v>#NAME?</v>
      </c>
      <c r="N402" s="486" t="s">
        <v>3043</v>
      </c>
      <c r="O402" s="1312"/>
      <c r="P402" s="1312"/>
    </row>
    <row r="403" spans="1:16" ht="15.75" customHeight="1">
      <c r="A403" s="1314">
        <v>44930.458240370368</v>
      </c>
      <c r="B403" s="1310" t="s">
        <v>3615</v>
      </c>
      <c r="C403" s="1310" t="s">
        <v>3616</v>
      </c>
      <c r="D403" s="1310" t="s">
        <v>3048</v>
      </c>
      <c r="E403" s="1310" t="s">
        <v>3042</v>
      </c>
      <c r="F403" s="1310" t="s">
        <v>3055</v>
      </c>
      <c r="G403" s="1326">
        <v>7</v>
      </c>
      <c r="H403" s="486" t="e">
        <f t="array" aca="1" ref="H403" ca="1">+_xludf.IFS(E403="100% Presencial",1, E403="20% Teletrabajo (4 días a la semana)",0.8,E403="40% Teletrabajo (3 días a la semana)",0.6,E403="60% Teletrabajo (2 días a la semana)",0.4,E403="80% Teletrabajo (1 día a la semana)",0.2,E403="100% Teletrabajo",0)</f>
        <v>#NAME?</v>
      </c>
      <c r="I403" s="486" t="e">
        <f t="array" aca="1" ref="I403" ca="1">+_xludf.IFS(F403="Vehículo - Uso individual","Auto",F403="Vehículo - Uso compartido","Auto",F403="Transporte público/bus de acercamiento","Bus",F403="Moto","Moto",F403="Bicicleta o caminando","Bicicleta",F403="Ninguno, pues realicé 100% teletrabajo","No aplica",F403="Moto eléctrica","Moto eléctrica",F403="Vehículo eléctrico - Uso Individual","Vehículo eléctrico",F403="Vehículo eléctrico - Uso Compartido","Vehículo eléctrico")</f>
        <v>#NAME?</v>
      </c>
      <c r="J403" s="486">
        <v>1</v>
      </c>
      <c r="K403" s="1324" t="e">
        <f t="shared" ca="1" si="3"/>
        <v>#NAME?</v>
      </c>
      <c r="L403" s="1325">
        <f ca="1">+IFERROR(VLOOKUP(I403,'Factores Emisión EDGE'!$K$267:$L$272,2,0),0)</f>
        <v>0</v>
      </c>
      <c r="M403" s="1325" t="e">
        <f t="shared" ca="1" si="4"/>
        <v>#NAME?</v>
      </c>
      <c r="N403" s="486" t="s">
        <v>3056</v>
      </c>
      <c r="O403" s="1312"/>
      <c r="P403" s="1312"/>
    </row>
    <row r="404" spans="1:16" ht="15.75" customHeight="1">
      <c r="A404" s="1314">
        <v>44938.55273059028</v>
      </c>
      <c r="B404" s="1310" t="s">
        <v>3617</v>
      </c>
      <c r="C404" s="1310" t="s">
        <v>3618</v>
      </c>
      <c r="D404" s="1310" t="s">
        <v>3048</v>
      </c>
      <c r="E404" s="1310" t="s">
        <v>3042</v>
      </c>
      <c r="F404" s="1310" t="s">
        <v>1952</v>
      </c>
      <c r="G404" s="1326">
        <v>7</v>
      </c>
      <c r="H404" s="486" t="e">
        <f t="array" aca="1" ref="H404" ca="1">+_xludf.IFS(E404="100% Presencial",1, E404="20% Teletrabajo (4 días a la semana)",0.8,E404="40% Teletrabajo (3 días a la semana)",0.6,E404="60% Teletrabajo (2 días a la semana)",0.4,E404="80% Teletrabajo (1 día a la semana)",0.2,E404="100% Teletrabajo",0)</f>
        <v>#NAME?</v>
      </c>
      <c r="I404" s="486" t="e">
        <f t="array" aca="1" ref="I404" ca="1">+_xludf.IFS(F404="Vehículo - Uso individual","Auto",F404="Vehículo - Uso compartido","Auto",F404="Transporte público/bus de acercamiento","Bus",F404="Moto","Moto",F404="Bicicleta o caminando","Bicicleta",F404="Ninguno, pues realicé 100% teletrabajo","No aplica",F404="Moto eléctrica","Moto eléctrica",F404="Vehículo eléctrico - Uso Individual","Vehículo eléctrico",F404="Vehículo eléctrico - Uso Compartido","Vehículo eléctrico")</f>
        <v>#NAME?</v>
      </c>
      <c r="J404" s="486">
        <v>1</v>
      </c>
      <c r="K404" s="1324" t="e">
        <f t="shared" ca="1" si="3"/>
        <v>#NAME?</v>
      </c>
      <c r="L404" s="1325">
        <f ca="1">+IFERROR(VLOOKUP(I404,'Factores Emisión EDGE'!$K$267:$L$272,2,0),0)</f>
        <v>0</v>
      </c>
      <c r="M404" s="1325" t="e">
        <f t="shared" ca="1" si="4"/>
        <v>#NAME?</v>
      </c>
      <c r="N404" s="486" t="s">
        <v>3056</v>
      </c>
      <c r="O404" s="1312"/>
      <c r="P404" s="1312"/>
    </row>
    <row r="405" spans="1:16" ht="15.75" customHeight="1">
      <c r="A405" s="1314">
        <v>44938.613963495372</v>
      </c>
      <c r="B405" s="1310" t="s">
        <v>3619</v>
      </c>
      <c r="C405" s="1310" t="s">
        <v>3620</v>
      </c>
      <c r="D405" s="1310" t="s">
        <v>3063</v>
      </c>
      <c r="E405" s="1310" t="s">
        <v>3042</v>
      </c>
      <c r="F405" s="1310" t="s">
        <v>3055</v>
      </c>
      <c r="G405" s="1326">
        <v>7</v>
      </c>
      <c r="H405" s="486" t="e">
        <f t="array" aca="1" ref="H405" ca="1">+_xludf.IFS(E405="100% Presencial",1, E405="20% Teletrabajo (4 días a la semana)",0.8,E405="40% Teletrabajo (3 días a la semana)",0.6,E405="60% Teletrabajo (2 días a la semana)",0.4,E405="80% Teletrabajo (1 día a la semana)",0.2,E405="100% Teletrabajo",0)</f>
        <v>#NAME?</v>
      </c>
      <c r="I405" s="486" t="e">
        <f t="array" aca="1" ref="I405" ca="1">+_xludf.IFS(F405="Vehículo - Uso individual","Auto",F405="Vehículo - Uso compartido","Auto",F405="Transporte público/bus de acercamiento","Bus",F405="Moto","Moto",F405="Bicicleta o caminando","Bicicleta",F405="Ninguno, pues realicé 100% teletrabajo","No aplica",F405="Moto eléctrica","Moto eléctrica",F405="Vehículo eléctrico - Uso Individual","Vehículo eléctrico",F405="Vehículo eléctrico - Uso Compartido","Vehículo eléctrico")</f>
        <v>#NAME?</v>
      </c>
      <c r="J405" s="486">
        <v>1</v>
      </c>
      <c r="K405" s="1324" t="e">
        <f t="shared" ca="1" si="3"/>
        <v>#NAME?</v>
      </c>
      <c r="L405" s="1325">
        <f ca="1">+IFERROR(VLOOKUP(I405,'Factores Emisión EDGE'!$K$267:$L$272,2,0),0)</f>
        <v>0</v>
      </c>
      <c r="M405" s="1325" t="e">
        <f t="shared" ca="1" si="4"/>
        <v>#NAME?</v>
      </c>
      <c r="N405" s="486" t="s">
        <v>3056</v>
      </c>
      <c r="O405" s="1312"/>
      <c r="P405" s="1312"/>
    </row>
    <row r="406" spans="1:16" ht="15.75" customHeight="1">
      <c r="A406" s="1314">
        <v>44939.377722881945</v>
      </c>
      <c r="B406" s="1310" t="s">
        <v>3621</v>
      </c>
      <c r="C406" s="1310" t="s">
        <v>3622</v>
      </c>
      <c r="D406" s="1310" t="s">
        <v>3048</v>
      </c>
      <c r="E406" s="1310" t="s">
        <v>3042</v>
      </c>
      <c r="F406" s="1310" t="s">
        <v>1952</v>
      </c>
      <c r="G406" s="1326">
        <v>7</v>
      </c>
      <c r="H406" s="486" t="e">
        <f t="array" aca="1" ref="H406" ca="1">+_xludf.IFS(E406="100% Presencial",1, E406="20% Teletrabajo (4 días a la semana)",0.8,E406="40% Teletrabajo (3 días a la semana)",0.6,E406="60% Teletrabajo (2 días a la semana)",0.4,E406="80% Teletrabajo (1 día a la semana)",0.2,E406="100% Teletrabajo",0)</f>
        <v>#NAME?</v>
      </c>
      <c r="I406" s="486" t="e">
        <f t="array" aca="1" ref="I406" ca="1">+_xludf.IFS(F406="Vehículo - Uso individual","Auto",F406="Vehículo - Uso compartido","Auto",F406="Transporte público/bus de acercamiento","Bus",F406="Moto","Moto",F406="Bicicleta o caminando","Bicicleta",F406="Ninguno, pues realicé 100% teletrabajo","No aplica",F406="Moto eléctrica","Moto eléctrica",F406="Vehículo eléctrico - Uso Individual","Vehículo eléctrico",F406="Vehículo eléctrico - Uso Compartido","Vehículo eléctrico")</f>
        <v>#NAME?</v>
      </c>
      <c r="J406" s="486">
        <v>1</v>
      </c>
      <c r="K406" s="1324" t="e">
        <f t="shared" ca="1" si="3"/>
        <v>#NAME?</v>
      </c>
      <c r="L406" s="1325">
        <f ca="1">+IFERROR(VLOOKUP(I406,'Factores Emisión EDGE'!$K$267:$L$272,2,0),0)</f>
        <v>0</v>
      </c>
      <c r="M406" s="1325" t="e">
        <f t="shared" ca="1" si="4"/>
        <v>#NAME?</v>
      </c>
      <c r="N406" s="486" t="s">
        <v>3043</v>
      </c>
      <c r="O406" s="1312"/>
      <c r="P406" s="1312"/>
    </row>
    <row r="407" spans="1:16" ht="15.75" customHeight="1">
      <c r="A407" s="1314">
        <v>44939.543006574073</v>
      </c>
      <c r="B407" s="1310" t="s">
        <v>3623</v>
      </c>
      <c r="C407" s="1310" t="s">
        <v>3624</v>
      </c>
      <c r="D407" s="1310" t="s">
        <v>3048</v>
      </c>
      <c r="E407" s="1310" t="s">
        <v>3066</v>
      </c>
      <c r="F407" s="1310" t="s">
        <v>1995</v>
      </c>
      <c r="G407" s="1326">
        <v>7</v>
      </c>
      <c r="H407" s="486" t="e">
        <f t="array" aca="1" ref="H407" ca="1">+_xludf.IFS(E407="100% Presencial",1, E407="20% Teletrabajo (4 días a la semana)",0.8,E407="40% Teletrabajo (3 días a la semana)",0.6,E407="60% Teletrabajo (2 días a la semana)",0.4,E407="80% Teletrabajo (1 día a la semana)",0.2,E407="100% Teletrabajo",0)</f>
        <v>#NAME?</v>
      </c>
      <c r="I407" s="486" t="e">
        <f t="array" aca="1" ref="I407" ca="1">+_xludf.IFS(F407="Vehículo - Uso individual","Auto",F407="Vehículo - Uso compartido","Auto",F407="Transporte público/bus de acercamiento","Bus",F407="Moto","Moto",F407="Bicicleta o caminando","Bicicleta",F407="Ninguno, pues realicé 100% teletrabajo","No aplica",F407="Moto eléctrica","Moto eléctrica",F407="Vehículo eléctrico - Uso Individual","Vehículo eléctrico",F407="Vehículo eléctrico - Uso Compartido","Vehículo eléctrico")</f>
        <v>#NAME?</v>
      </c>
      <c r="J407" s="486">
        <v>0.25</v>
      </c>
      <c r="K407" s="1324" t="e">
        <f t="shared" ca="1" si="3"/>
        <v>#NAME?</v>
      </c>
      <c r="L407" s="1325">
        <f ca="1">+IFERROR(VLOOKUP(I407,'Factores Emisión EDGE'!$K$267:$L$272,2,0),0)</f>
        <v>0</v>
      </c>
      <c r="M407" s="1325" t="e">
        <f t="shared" ca="1" si="4"/>
        <v>#NAME?</v>
      </c>
      <c r="N407" s="486" t="s">
        <v>3043</v>
      </c>
      <c r="O407" s="1312"/>
      <c r="P407" s="1312"/>
    </row>
    <row r="408" spans="1:16" ht="15.75" customHeight="1">
      <c r="A408" s="1314">
        <v>44939.700179374995</v>
      </c>
      <c r="B408" s="1310" t="s">
        <v>3625</v>
      </c>
      <c r="C408" s="1310" t="s">
        <v>2772</v>
      </c>
      <c r="D408" s="1310" t="s">
        <v>3083</v>
      </c>
      <c r="E408" s="1310" t="s">
        <v>3042</v>
      </c>
      <c r="F408" s="1310" t="s">
        <v>1952</v>
      </c>
      <c r="G408" s="1326">
        <v>7</v>
      </c>
      <c r="H408" s="486" t="e">
        <f t="array" aca="1" ref="H408" ca="1">+_xludf.IFS(E408="100% Presencial",1, E408="20% Teletrabajo (4 días a la semana)",0.8,E408="40% Teletrabajo (3 días a la semana)",0.6,E408="60% Teletrabajo (2 días a la semana)",0.4,E408="80% Teletrabajo (1 día a la semana)",0.2,E408="100% Teletrabajo",0)</f>
        <v>#NAME?</v>
      </c>
      <c r="I408" s="486" t="e">
        <f t="array" aca="1" ref="I408" ca="1">+_xludf.IFS(F408="Vehículo - Uso individual","Auto",F408="Vehículo - Uso compartido","Auto",F408="Transporte público/bus de acercamiento","Bus",F408="Moto","Moto",F408="Bicicleta o caminando","Bicicleta",F408="Ninguno, pues realicé 100% teletrabajo","No aplica",F408="Moto eléctrica","Moto eléctrica",F408="Vehículo eléctrico - Uso Individual","Vehículo eléctrico",F408="Vehículo eléctrico - Uso Compartido","Vehículo eléctrico")</f>
        <v>#NAME?</v>
      </c>
      <c r="J408" s="486">
        <v>1</v>
      </c>
      <c r="K408" s="1324" t="e">
        <f t="shared" ca="1" si="3"/>
        <v>#NAME?</v>
      </c>
      <c r="L408" s="1325">
        <f ca="1">+IFERROR(VLOOKUP(I408,'Factores Emisión EDGE'!$K$267:$L$272,2,0),0)</f>
        <v>0</v>
      </c>
      <c r="M408" s="1325" t="e">
        <f t="shared" ca="1" si="4"/>
        <v>#NAME?</v>
      </c>
      <c r="N408" s="486" t="s">
        <v>3043</v>
      </c>
      <c r="O408" s="1312"/>
      <c r="P408" s="1312"/>
    </row>
    <row r="409" spans="1:16" ht="15.75" customHeight="1">
      <c r="A409" s="1314">
        <v>44939.382029456014</v>
      </c>
      <c r="B409" s="1310" t="s">
        <v>2450</v>
      </c>
      <c r="C409" s="1310" t="s">
        <v>3626</v>
      </c>
      <c r="D409" s="1310" t="s">
        <v>3048</v>
      </c>
      <c r="E409" s="1310" t="s">
        <v>3066</v>
      </c>
      <c r="F409" s="1310" t="s">
        <v>1995</v>
      </c>
      <c r="G409" s="1326">
        <v>6.5</v>
      </c>
      <c r="H409" s="486" t="e">
        <f t="array" aca="1" ref="H409" ca="1">+_xludf.IFS(E409="100% Presencial",1, E409="20% Teletrabajo (4 días a la semana)",0.8,E409="40% Teletrabajo (3 días a la semana)",0.6,E409="60% Teletrabajo (2 días a la semana)",0.4,E409="80% Teletrabajo (1 día a la semana)",0.2,E409="100% Teletrabajo",0)</f>
        <v>#NAME?</v>
      </c>
      <c r="I409" s="486" t="e">
        <f t="array" aca="1" ref="I409" ca="1">+_xludf.IFS(F409="Vehículo - Uso individual","Auto",F409="Vehículo - Uso compartido","Auto",F409="Transporte público/bus de acercamiento","Bus",F409="Moto","Moto",F409="Bicicleta o caminando","Bicicleta",F409="Ninguno, pues realicé 100% teletrabajo","No aplica",F409="Moto eléctrica","Moto eléctrica",F409="Vehículo eléctrico - Uso Individual","Vehículo eléctrico",F409="Vehículo eléctrico - Uso Compartido","Vehículo eléctrico")</f>
        <v>#NAME?</v>
      </c>
      <c r="J409" s="486">
        <v>0.25</v>
      </c>
      <c r="K409" s="1324" t="e">
        <f t="shared" ca="1" si="3"/>
        <v>#NAME?</v>
      </c>
      <c r="L409" s="1325">
        <f ca="1">+IFERROR(VLOOKUP(I409,'Factores Emisión EDGE'!$K$267:$L$272,2,0),0)</f>
        <v>0</v>
      </c>
      <c r="M409" s="1325" t="e">
        <f t="shared" ca="1" si="4"/>
        <v>#NAME?</v>
      </c>
      <c r="N409" s="486" t="s">
        <v>3043</v>
      </c>
      <c r="O409" s="1312"/>
      <c r="P409" s="1312"/>
    </row>
    <row r="410" spans="1:16" ht="15.75" customHeight="1">
      <c r="A410" s="1314">
        <v>44939.391801226855</v>
      </c>
      <c r="B410" s="1310" t="s">
        <v>2354</v>
      </c>
      <c r="C410" s="1310" t="s">
        <v>2355</v>
      </c>
      <c r="D410" s="1310" t="s">
        <v>3048</v>
      </c>
      <c r="E410" s="1310" t="s">
        <v>3066</v>
      </c>
      <c r="F410" s="1310" t="s">
        <v>1995</v>
      </c>
      <c r="G410" s="1326">
        <v>6.2</v>
      </c>
      <c r="H410" s="486" t="e">
        <f t="array" aca="1" ref="H410" ca="1">+_xludf.IFS(E410="100% Presencial",1, E410="20% Teletrabajo (4 días a la semana)",0.8,E410="40% Teletrabajo (3 días a la semana)",0.6,E410="60% Teletrabajo (2 días a la semana)",0.4,E410="80% Teletrabajo (1 día a la semana)",0.2,E410="100% Teletrabajo",0)</f>
        <v>#NAME?</v>
      </c>
      <c r="I410" s="486" t="e">
        <f t="array" aca="1" ref="I410" ca="1">+_xludf.IFS(F410="Vehículo - Uso individual","Auto",F410="Vehículo - Uso compartido","Auto",F410="Transporte público/bus de acercamiento","Bus",F410="Moto","Moto",F410="Bicicleta o caminando","Bicicleta",F410="Ninguno, pues realicé 100% teletrabajo","No aplica",F410="Moto eléctrica","Moto eléctrica",F410="Vehículo eléctrico - Uso Individual","Vehículo eléctrico",F410="Vehículo eléctrico - Uso Compartido","Vehículo eléctrico")</f>
        <v>#NAME?</v>
      </c>
      <c r="J410" s="486">
        <v>0.25</v>
      </c>
      <c r="K410" s="1324" t="e">
        <f t="shared" ca="1" si="3"/>
        <v>#NAME?</v>
      </c>
      <c r="L410" s="1325">
        <f ca="1">+IFERROR(VLOOKUP(I410,'Factores Emisión EDGE'!$K$267:$L$272,2,0),0)</f>
        <v>0</v>
      </c>
      <c r="M410" s="1325" t="e">
        <f t="shared" ca="1" si="4"/>
        <v>#NAME?</v>
      </c>
      <c r="N410" s="486" t="s">
        <v>3043</v>
      </c>
      <c r="O410" s="1312"/>
      <c r="P410" s="1312"/>
    </row>
    <row r="411" spans="1:16" ht="15.75" customHeight="1">
      <c r="A411" s="1314">
        <v>44929.48346043982</v>
      </c>
      <c r="B411" s="1310" t="s">
        <v>3627</v>
      </c>
      <c r="C411" s="1310" t="s">
        <v>3628</v>
      </c>
      <c r="D411" s="1310" t="s">
        <v>3046</v>
      </c>
      <c r="E411" s="1310" t="s">
        <v>3042</v>
      </c>
      <c r="F411" s="1310" t="s">
        <v>1952</v>
      </c>
      <c r="G411" s="1326">
        <v>6.1</v>
      </c>
      <c r="H411" s="486" t="e">
        <f t="array" aca="1" ref="H411" ca="1">+_xludf.IFS(E411="100% Presencial",1, E411="20% Teletrabajo (4 días a la semana)",0.8,E411="40% Teletrabajo (3 días a la semana)",0.6,E411="60% Teletrabajo (2 días a la semana)",0.4,E411="80% Teletrabajo (1 día a la semana)",0.2,E411="100% Teletrabajo",0)</f>
        <v>#NAME?</v>
      </c>
      <c r="I411" s="486" t="e">
        <f t="array" aca="1" ref="I411" ca="1">+_xludf.IFS(F411="Vehículo - Uso individual","Auto",F411="Vehículo - Uso compartido","Auto",F411="Transporte público/bus de acercamiento","Bus",F411="Moto","Moto",F411="Bicicleta o caminando","Bicicleta",F411="Ninguno, pues realicé 100% teletrabajo","No aplica",F411="Moto eléctrica","Moto eléctrica",F411="Vehículo eléctrico - Uso Individual","Vehículo eléctrico",F411="Vehículo eléctrico - Uso Compartido","Vehículo eléctrico")</f>
        <v>#NAME?</v>
      </c>
      <c r="J411" s="486">
        <v>1</v>
      </c>
      <c r="K411" s="1324" t="e">
        <f t="shared" ca="1" si="3"/>
        <v>#NAME?</v>
      </c>
      <c r="L411" s="1325">
        <f ca="1">+IFERROR(VLOOKUP(I411,'Factores Emisión EDGE'!$K$267:$L$272,2,0),0)</f>
        <v>0</v>
      </c>
      <c r="M411" s="1325" t="e">
        <f t="shared" ca="1" si="4"/>
        <v>#NAME?</v>
      </c>
      <c r="N411" s="486" t="s">
        <v>3043</v>
      </c>
      <c r="O411" s="1312"/>
      <c r="P411" s="1312"/>
    </row>
    <row r="412" spans="1:16" ht="15.75" customHeight="1">
      <c r="A412" s="1314">
        <v>44938.984918773145</v>
      </c>
      <c r="B412" s="1310" t="s">
        <v>3629</v>
      </c>
      <c r="C412" s="1310" t="s">
        <v>3630</v>
      </c>
      <c r="D412" s="1310" t="s">
        <v>3054</v>
      </c>
      <c r="E412" s="1310" t="s">
        <v>3042</v>
      </c>
      <c r="F412" s="1310" t="s">
        <v>1952</v>
      </c>
      <c r="G412" s="1326">
        <v>6</v>
      </c>
      <c r="H412" s="486" t="e">
        <f t="array" aca="1" ref="H412" ca="1">+_xludf.IFS(E412="100% Presencial",1, E412="20% Teletrabajo (4 días a la semana)",0.8,E412="40% Teletrabajo (3 días a la semana)",0.6,E412="60% Teletrabajo (2 días a la semana)",0.4,E412="80% Teletrabajo (1 día a la semana)",0.2,E412="100% Teletrabajo",0)</f>
        <v>#NAME?</v>
      </c>
      <c r="I412" s="486" t="e">
        <f t="array" aca="1" ref="I412" ca="1">+_xludf.IFS(F412="Vehículo - Uso individual","Auto",F412="Vehículo - Uso compartido","Auto",F412="Transporte público/bus de acercamiento","Bus",F412="Moto","Moto",F412="Bicicleta o caminando","Bicicleta",F412="Ninguno, pues realicé 100% teletrabajo","No aplica",F412="Moto eléctrica","Moto eléctrica",F412="Vehículo eléctrico - Uso Individual","Vehículo eléctrico",F412="Vehículo eléctrico - Uso Compartido","Vehículo eléctrico")</f>
        <v>#NAME?</v>
      </c>
      <c r="J412" s="486">
        <v>1</v>
      </c>
      <c r="K412" s="1324" t="e">
        <f t="shared" ca="1" si="3"/>
        <v>#NAME?</v>
      </c>
      <c r="L412" s="1325">
        <f ca="1">+IFERROR(VLOOKUP(I412,'Factores Emisión EDGE'!$K$267:$L$272,2,0),0)</f>
        <v>0</v>
      </c>
      <c r="M412" s="1325" t="e">
        <f t="shared" ca="1" si="4"/>
        <v>#NAME?</v>
      </c>
      <c r="N412" s="486" t="s">
        <v>3056</v>
      </c>
      <c r="O412" s="1312"/>
      <c r="P412" s="1312"/>
    </row>
    <row r="413" spans="1:16" ht="15.75" customHeight="1">
      <c r="A413" s="1314">
        <v>44931.791258703699</v>
      </c>
      <c r="B413" s="1310" t="s">
        <v>3631</v>
      </c>
      <c r="C413" s="1310" t="s">
        <v>3632</v>
      </c>
      <c r="D413" s="1310" t="s">
        <v>3080</v>
      </c>
      <c r="E413" s="1310" t="s">
        <v>3049</v>
      </c>
      <c r="F413" s="1310" t="s">
        <v>1952</v>
      </c>
      <c r="G413" s="1326">
        <v>6</v>
      </c>
      <c r="H413" s="486" t="e">
        <f t="array" aca="1" ref="H413" ca="1">+_xludf.IFS(E413="100% Presencial",1, E413="20% Teletrabajo (4 días a la semana)",0.8,E413="40% Teletrabajo (3 días a la semana)",0.6,E413="60% Teletrabajo (2 días a la semana)",0.4,E413="80% Teletrabajo (1 día a la semana)",0.2,E413="100% Teletrabajo",0)</f>
        <v>#NAME?</v>
      </c>
      <c r="I413" s="486" t="e">
        <f t="array" aca="1" ref="I413" ca="1">+_xludf.IFS(F413="Vehículo - Uso individual","Auto",F413="Vehículo - Uso compartido","Auto",F413="Transporte público/bus de acercamiento","Bus",F413="Moto","Moto",F413="Bicicleta o caminando","Bicicleta",F413="Ninguno, pues realicé 100% teletrabajo","No aplica",F413="Moto eléctrica","Moto eléctrica",F413="Vehículo eléctrico - Uso Individual","Vehículo eléctrico",F413="Vehículo eléctrico - Uso Compartido","Vehículo eléctrico")</f>
        <v>#NAME?</v>
      </c>
      <c r="J413" s="486">
        <v>1</v>
      </c>
      <c r="K413" s="1324" t="e">
        <f t="shared" ca="1" si="3"/>
        <v>#NAME?</v>
      </c>
      <c r="L413" s="1325">
        <f ca="1">+IFERROR(VLOOKUP(I413,'Factores Emisión EDGE'!$K$267:$L$272,2,0),0)</f>
        <v>0</v>
      </c>
      <c r="M413" s="1325" t="e">
        <f t="shared" ca="1" si="4"/>
        <v>#NAME?</v>
      </c>
      <c r="N413" s="486" t="s">
        <v>3043</v>
      </c>
      <c r="O413" s="1312"/>
      <c r="P413" s="1312"/>
    </row>
    <row r="414" spans="1:16" ht="15.75" customHeight="1">
      <c r="A414" s="1314">
        <v>44938.545262662039</v>
      </c>
      <c r="B414" s="1310" t="s">
        <v>3633</v>
      </c>
      <c r="C414" s="1310" t="s">
        <v>3634</v>
      </c>
      <c r="D414" s="1310" t="s">
        <v>3054</v>
      </c>
      <c r="E414" s="1310" t="s">
        <v>3042</v>
      </c>
      <c r="F414" s="1310" t="s">
        <v>3055</v>
      </c>
      <c r="G414" s="1326">
        <v>6</v>
      </c>
      <c r="H414" s="486" t="e">
        <f t="array" aca="1" ref="H414" ca="1">+_xludf.IFS(E414="100% Presencial",1, E414="20% Teletrabajo (4 días a la semana)",0.8,E414="40% Teletrabajo (3 días a la semana)",0.6,E414="60% Teletrabajo (2 días a la semana)",0.4,E414="80% Teletrabajo (1 día a la semana)",0.2,E414="100% Teletrabajo",0)</f>
        <v>#NAME?</v>
      </c>
      <c r="I414" s="486" t="e">
        <f t="array" aca="1" ref="I414" ca="1">+_xludf.IFS(F414="Vehículo - Uso individual","Auto",F414="Vehículo - Uso compartido","Auto",F414="Transporte público/bus de acercamiento","Bus",F414="Moto","Moto",F414="Bicicleta o caminando","Bicicleta",F414="Ninguno, pues realicé 100% teletrabajo","No aplica",F414="Moto eléctrica","Moto eléctrica",F414="Vehículo eléctrico - Uso Individual","Vehículo eléctrico",F414="Vehículo eléctrico - Uso Compartido","Vehículo eléctrico")</f>
        <v>#NAME?</v>
      </c>
      <c r="J414" s="486">
        <v>1</v>
      </c>
      <c r="K414" s="1324" t="e">
        <f t="shared" ca="1" si="3"/>
        <v>#NAME?</v>
      </c>
      <c r="L414" s="1325">
        <f ca="1">+IFERROR(VLOOKUP(I414,'Factores Emisión EDGE'!$K$267:$L$272,2,0),0)</f>
        <v>0</v>
      </c>
      <c r="M414" s="1325" t="e">
        <f t="shared" ca="1" si="4"/>
        <v>#NAME?</v>
      </c>
      <c r="N414" s="486" t="s">
        <v>3056</v>
      </c>
      <c r="O414" s="1312"/>
      <c r="P414" s="1312"/>
    </row>
    <row r="415" spans="1:16" ht="15.75" customHeight="1">
      <c r="A415" s="1314">
        <v>44939.568107002313</v>
      </c>
      <c r="B415" s="1310" t="s">
        <v>3635</v>
      </c>
      <c r="C415" s="1310" t="s">
        <v>2278</v>
      </c>
      <c r="D415" s="1310" t="s">
        <v>3292</v>
      </c>
      <c r="E415" s="1310" t="s">
        <v>3042</v>
      </c>
      <c r="F415" s="1310" t="s">
        <v>3055</v>
      </c>
      <c r="G415" s="1326">
        <v>6</v>
      </c>
      <c r="H415" s="486" t="e">
        <f t="array" aca="1" ref="H415" ca="1">+_xludf.IFS(E415="100% Presencial",1, E415="20% Teletrabajo (4 días a la semana)",0.8,E415="40% Teletrabajo (3 días a la semana)",0.6,E415="60% Teletrabajo (2 días a la semana)",0.4,E415="80% Teletrabajo (1 día a la semana)",0.2,E415="100% Teletrabajo",0)</f>
        <v>#NAME?</v>
      </c>
      <c r="I415" s="486" t="e">
        <f t="array" aca="1" ref="I415" ca="1">+_xludf.IFS(F415="Vehículo - Uso individual","Auto",F415="Vehículo - Uso compartido","Auto",F415="Transporte público/bus de acercamiento","Bus",F415="Moto","Moto",F415="Bicicleta o caminando","Bicicleta",F415="Ninguno, pues realicé 100% teletrabajo","No aplica",F415="Moto eléctrica","Moto eléctrica",F415="Vehículo eléctrico - Uso Individual","Vehículo eléctrico",F415="Vehículo eléctrico - Uso Compartido","Vehículo eléctrico")</f>
        <v>#NAME?</v>
      </c>
      <c r="J415" s="486">
        <v>1</v>
      </c>
      <c r="K415" s="1324" t="e">
        <f t="shared" ca="1" si="3"/>
        <v>#NAME?</v>
      </c>
      <c r="L415" s="1325">
        <f ca="1">+IFERROR(VLOOKUP(I415,'Factores Emisión EDGE'!$K$267:$L$272,2,0),0)</f>
        <v>0</v>
      </c>
      <c r="M415" s="1325" t="e">
        <f t="shared" ca="1" si="4"/>
        <v>#NAME?</v>
      </c>
      <c r="N415" s="486" t="s">
        <v>3043</v>
      </c>
      <c r="O415" s="1312"/>
      <c r="P415" s="1312"/>
    </row>
    <row r="416" spans="1:16" ht="15.75" customHeight="1">
      <c r="A416" s="1314">
        <v>44938.691262824075</v>
      </c>
      <c r="B416" s="1310" t="s">
        <v>3636</v>
      </c>
      <c r="C416" s="1310" t="s">
        <v>3637</v>
      </c>
      <c r="D416" s="1310" t="s">
        <v>3107</v>
      </c>
      <c r="E416" s="1310" t="s">
        <v>3042</v>
      </c>
      <c r="F416" s="1310" t="s">
        <v>1952</v>
      </c>
      <c r="G416" s="1326">
        <v>6</v>
      </c>
      <c r="H416" s="486" t="e">
        <f t="array" aca="1" ref="H416" ca="1">+_xludf.IFS(E416="100% Presencial",1, E416="20% Teletrabajo (4 días a la semana)",0.8,E416="40% Teletrabajo (3 días a la semana)",0.6,E416="60% Teletrabajo (2 días a la semana)",0.4,E416="80% Teletrabajo (1 día a la semana)",0.2,E416="100% Teletrabajo",0)</f>
        <v>#NAME?</v>
      </c>
      <c r="I416" s="486" t="e">
        <f t="array" aca="1" ref="I416" ca="1">+_xludf.IFS(F416="Vehículo - Uso individual","Auto",F416="Vehículo - Uso compartido","Auto",F416="Transporte público/bus de acercamiento","Bus",F416="Moto","Moto",F416="Bicicleta o caminando","Bicicleta",F416="Ninguno, pues realicé 100% teletrabajo","No aplica",F416="Moto eléctrica","Moto eléctrica",F416="Vehículo eléctrico - Uso Individual","Vehículo eléctrico",F416="Vehículo eléctrico - Uso Compartido","Vehículo eléctrico")</f>
        <v>#NAME?</v>
      </c>
      <c r="J416" s="486">
        <v>1</v>
      </c>
      <c r="K416" s="1324" t="e">
        <f t="shared" ca="1" si="3"/>
        <v>#NAME?</v>
      </c>
      <c r="L416" s="1325">
        <f ca="1">+IFERROR(VLOOKUP(I416,'Factores Emisión EDGE'!$K$267:$L$272,2,0),0)</f>
        <v>0</v>
      </c>
      <c r="M416" s="1325" t="e">
        <f t="shared" ca="1" si="4"/>
        <v>#NAME?</v>
      </c>
      <c r="N416" s="486" t="s">
        <v>3056</v>
      </c>
      <c r="O416" s="1312"/>
      <c r="P416" s="1312"/>
    </row>
    <row r="417" spans="1:16" ht="15.75" customHeight="1">
      <c r="A417" s="1314">
        <v>44929.562440324073</v>
      </c>
      <c r="B417" s="1310" t="s">
        <v>3638</v>
      </c>
      <c r="C417" s="1310" t="s">
        <v>3639</v>
      </c>
      <c r="D417" s="1310" t="s">
        <v>3046</v>
      </c>
      <c r="E417" s="1310" t="s">
        <v>3042</v>
      </c>
      <c r="F417" s="1310" t="s">
        <v>3055</v>
      </c>
      <c r="G417" s="1326">
        <v>6</v>
      </c>
      <c r="H417" s="486" t="e">
        <f t="array" aca="1" ref="H417" ca="1">+_xludf.IFS(E417="100% Presencial",1, E417="20% Teletrabajo (4 días a la semana)",0.8,E417="40% Teletrabajo (3 días a la semana)",0.6,E417="60% Teletrabajo (2 días a la semana)",0.4,E417="80% Teletrabajo (1 día a la semana)",0.2,E417="100% Teletrabajo",0)</f>
        <v>#NAME?</v>
      </c>
      <c r="I417" s="486" t="e">
        <f t="array" aca="1" ref="I417" ca="1">+_xludf.IFS(F417="Vehículo - Uso individual","Auto",F417="Vehículo - Uso compartido","Auto",F417="Transporte público/bus de acercamiento","Bus",F417="Moto","Moto",F417="Bicicleta o caminando","Bicicleta",F417="Ninguno, pues realicé 100% teletrabajo","No aplica",F417="Moto eléctrica","Moto eléctrica",F417="Vehículo eléctrico - Uso Individual","Vehículo eléctrico",F417="Vehículo eléctrico - Uso Compartido","Vehículo eléctrico")</f>
        <v>#NAME?</v>
      </c>
      <c r="J417" s="486">
        <v>1</v>
      </c>
      <c r="K417" s="1324" t="e">
        <f t="shared" ca="1" si="3"/>
        <v>#NAME?</v>
      </c>
      <c r="L417" s="1325">
        <f ca="1">+IFERROR(VLOOKUP(I417,'Factores Emisión EDGE'!$K$267:$L$272,2,0),0)</f>
        <v>0</v>
      </c>
      <c r="M417" s="1325" t="e">
        <f t="shared" ca="1" si="4"/>
        <v>#NAME?</v>
      </c>
      <c r="N417" s="486" t="s">
        <v>3043</v>
      </c>
      <c r="O417" s="1312"/>
      <c r="P417" s="1312"/>
    </row>
    <row r="418" spans="1:16" ht="15.75" customHeight="1">
      <c r="A418" s="1314">
        <v>44930.605348379628</v>
      </c>
      <c r="B418" s="1310" t="s">
        <v>3640</v>
      </c>
      <c r="C418" s="1310" t="s">
        <v>3641</v>
      </c>
      <c r="D418" s="1310" t="s">
        <v>3048</v>
      </c>
      <c r="E418" s="1310" t="s">
        <v>883</v>
      </c>
      <c r="F418" s="1310" t="s">
        <v>1952</v>
      </c>
      <c r="G418" s="1326">
        <v>6</v>
      </c>
      <c r="H418" s="486" t="e">
        <f t="array" aca="1" ref="H418" ca="1">+_xludf.IFS(E418="100% Presencial",1, E418="20% Teletrabajo (4 días a la semana)",0.8,E418="40% Teletrabajo (3 días a la semana)",0.6,E418="60% Teletrabajo (2 días a la semana)",0.4,E418="80% Teletrabajo (1 día a la semana)",0.2,E418="100% Teletrabajo",0)</f>
        <v>#NAME?</v>
      </c>
      <c r="I418" s="486" t="e">
        <f t="array" aca="1" ref="I418" ca="1">+_xludf.IFS(F418="Vehículo - Uso individual","Auto",F418="Vehículo - Uso compartido","Auto",F418="Transporte público/bus de acercamiento","Bus",F418="Moto","Moto",F418="Bicicleta o caminando","Bicicleta",F418="Ninguno, pues realicé 100% teletrabajo","No aplica",F418="Moto eléctrica","Moto eléctrica",F418="Vehículo eléctrico - Uso Individual","Vehículo eléctrico",F418="Vehículo eléctrico - Uso Compartido","Vehículo eléctrico")</f>
        <v>#NAME?</v>
      </c>
      <c r="J418" s="486">
        <v>1</v>
      </c>
      <c r="K418" s="1324" t="e">
        <f t="shared" ca="1" si="3"/>
        <v>#NAME?</v>
      </c>
      <c r="L418" s="1325">
        <f ca="1">+IFERROR(VLOOKUP(I418,'Factores Emisión EDGE'!$K$267:$L$272,2,0),0)</f>
        <v>0</v>
      </c>
      <c r="M418" s="1325" t="e">
        <f t="shared" ca="1" si="4"/>
        <v>#NAME?</v>
      </c>
      <c r="N418" s="486" t="s">
        <v>3043</v>
      </c>
      <c r="O418" s="1312"/>
      <c r="P418" s="1312"/>
    </row>
    <row r="419" spans="1:16" ht="15.75" customHeight="1">
      <c r="A419" s="1314">
        <v>44938.563708530091</v>
      </c>
      <c r="B419" s="1310" t="s">
        <v>3642</v>
      </c>
      <c r="C419" s="1310" t="s">
        <v>3643</v>
      </c>
      <c r="D419" s="1310" t="s">
        <v>3048</v>
      </c>
      <c r="E419" s="1310" t="s">
        <v>3042</v>
      </c>
      <c r="F419" s="1310" t="s">
        <v>1983</v>
      </c>
      <c r="G419" s="1326">
        <v>6</v>
      </c>
      <c r="H419" s="486" t="e">
        <f t="array" aca="1" ref="H419" ca="1">+_xludf.IFS(E419="100% Presencial",1, E419="20% Teletrabajo (4 días a la semana)",0.8,E419="40% Teletrabajo (3 días a la semana)",0.6,E419="60% Teletrabajo (2 días a la semana)",0.4,E419="80% Teletrabajo (1 día a la semana)",0.2,E419="100% Teletrabajo",0)</f>
        <v>#NAME?</v>
      </c>
      <c r="I419" s="486" t="e">
        <f t="array" aca="1" ref="I419" ca="1">+_xludf.IFS(F419="Vehículo - Uso individual","Auto",F419="Vehículo - Uso compartido","Auto",F419="Transporte público/bus de acercamiento","Bus",F419="Moto","Moto",F419="Bicicleta o caminando","Bicicleta",F419="Ninguno, pues realicé 100% teletrabajo","No aplica",F419="Moto eléctrica","Moto eléctrica",F419="Vehículo eléctrico - Uso Individual","Vehículo eléctrico",F419="Vehículo eléctrico - Uso Compartido","Vehículo eléctrico")</f>
        <v>#NAME?</v>
      </c>
      <c r="J419" s="486">
        <v>1</v>
      </c>
      <c r="K419" s="1324" t="e">
        <f t="shared" ca="1" si="3"/>
        <v>#NAME?</v>
      </c>
      <c r="L419" s="1325">
        <f ca="1">+IFERROR(VLOOKUP(I419,'Factores Emisión EDGE'!$K$267:$L$272,2,0),0)</f>
        <v>0</v>
      </c>
      <c r="M419" s="1325" t="e">
        <f t="shared" ca="1" si="4"/>
        <v>#NAME?</v>
      </c>
      <c r="N419" s="486" t="s">
        <v>3056</v>
      </c>
      <c r="O419" s="1312"/>
      <c r="P419" s="1312"/>
    </row>
    <row r="420" spans="1:16" ht="15.75" customHeight="1">
      <c r="A420" s="1314">
        <v>44938.877107986111</v>
      </c>
      <c r="B420" s="1310" t="s">
        <v>3644</v>
      </c>
      <c r="C420" s="1310" t="s">
        <v>3645</v>
      </c>
      <c r="D420" s="1310" t="s">
        <v>3048</v>
      </c>
      <c r="E420" s="1310" t="s">
        <v>3042</v>
      </c>
      <c r="F420" s="1310" t="s">
        <v>1952</v>
      </c>
      <c r="G420" s="1326">
        <v>6</v>
      </c>
      <c r="H420" s="486" t="e">
        <f t="array" aca="1" ref="H420" ca="1">+_xludf.IFS(E420="100% Presencial",1, E420="20% Teletrabajo (4 días a la semana)",0.8,E420="40% Teletrabajo (3 días a la semana)",0.6,E420="60% Teletrabajo (2 días a la semana)",0.4,E420="80% Teletrabajo (1 día a la semana)",0.2,E420="100% Teletrabajo",0)</f>
        <v>#NAME?</v>
      </c>
      <c r="I420" s="486" t="e">
        <f t="array" aca="1" ref="I420" ca="1">+_xludf.IFS(F420="Vehículo - Uso individual","Auto",F420="Vehículo - Uso compartido","Auto",F420="Transporte público/bus de acercamiento","Bus",F420="Moto","Moto",F420="Bicicleta o caminando","Bicicleta",F420="Ninguno, pues realicé 100% teletrabajo","No aplica",F420="Moto eléctrica","Moto eléctrica",F420="Vehículo eléctrico - Uso Individual","Vehículo eléctrico",F420="Vehículo eléctrico - Uso Compartido","Vehículo eléctrico")</f>
        <v>#NAME?</v>
      </c>
      <c r="J420" s="486">
        <v>1</v>
      </c>
      <c r="K420" s="1324" t="e">
        <f t="shared" ca="1" si="3"/>
        <v>#NAME?</v>
      </c>
      <c r="L420" s="1325">
        <f ca="1">+IFERROR(VLOOKUP(I420,'Factores Emisión EDGE'!$K$267:$L$272,2,0),0)</f>
        <v>0</v>
      </c>
      <c r="M420" s="1325" t="e">
        <f t="shared" ca="1" si="4"/>
        <v>#NAME?</v>
      </c>
      <c r="N420" s="486" t="s">
        <v>3056</v>
      </c>
      <c r="O420" s="1312"/>
      <c r="P420" s="1312"/>
    </row>
    <row r="421" spans="1:16" ht="15.75" customHeight="1">
      <c r="A421" s="1314">
        <v>44939.387338020832</v>
      </c>
      <c r="B421" s="1310" t="s">
        <v>2085</v>
      </c>
      <c r="C421" s="1310" t="s">
        <v>2086</v>
      </c>
      <c r="D421" s="1310" t="s">
        <v>3048</v>
      </c>
      <c r="E421" s="1310" t="s">
        <v>883</v>
      </c>
      <c r="F421" s="1310" t="s">
        <v>3055</v>
      </c>
      <c r="G421" s="1326">
        <v>6</v>
      </c>
      <c r="H421" s="486" t="e">
        <f t="array" aca="1" ref="H421" ca="1">+_xludf.IFS(E421="100% Presencial",1, E421="20% Teletrabajo (4 días a la semana)",0.8,E421="40% Teletrabajo (3 días a la semana)",0.6,E421="60% Teletrabajo (2 días a la semana)",0.4,E421="80% Teletrabajo (1 día a la semana)",0.2,E421="100% Teletrabajo",0)</f>
        <v>#NAME?</v>
      </c>
      <c r="I421" s="486" t="e">
        <f t="array" aca="1" ref="I421" ca="1">+_xludf.IFS(F421="Vehículo - Uso individual","Auto",F421="Vehículo - Uso compartido","Auto",F421="Transporte público/bus de acercamiento","Bus",F421="Moto","Moto",F421="Bicicleta o caminando","Bicicleta",F421="Ninguno, pues realicé 100% teletrabajo","No aplica",F421="Moto eléctrica","Moto eléctrica",F421="Vehículo eléctrico - Uso Individual","Vehículo eléctrico",F421="Vehículo eléctrico - Uso Compartido","Vehículo eléctrico")</f>
        <v>#NAME?</v>
      </c>
      <c r="J421" s="486">
        <v>1</v>
      </c>
      <c r="K421" s="1324" t="e">
        <f t="shared" ca="1" si="3"/>
        <v>#NAME?</v>
      </c>
      <c r="L421" s="1325">
        <f ca="1">+IFERROR(VLOOKUP(I421,'Factores Emisión EDGE'!$K$267:$L$272,2,0),0)</f>
        <v>0</v>
      </c>
      <c r="M421" s="1325" t="e">
        <f t="shared" ca="1" si="4"/>
        <v>#NAME?</v>
      </c>
      <c r="N421" s="486" t="s">
        <v>3043</v>
      </c>
      <c r="O421" s="1312"/>
      <c r="P421" s="1312"/>
    </row>
    <row r="422" spans="1:16" ht="15.75" customHeight="1">
      <c r="A422" s="1314">
        <v>44939.412593449073</v>
      </c>
      <c r="B422" s="1310" t="s">
        <v>3646</v>
      </c>
      <c r="C422" s="1310" t="s">
        <v>3647</v>
      </c>
      <c r="D422" s="1310" t="s">
        <v>3292</v>
      </c>
      <c r="E422" s="1310" t="s">
        <v>3042</v>
      </c>
      <c r="F422" s="1310" t="s">
        <v>3055</v>
      </c>
      <c r="G422" s="1326">
        <v>6</v>
      </c>
      <c r="H422" s="486" t="e">
        <f t="array" aca="1" ref="H422" ca="1">+_xludf.IFS(E422="100% Presencial",1, E422="20% Teletrabajo (4 días a la semana)",0.8,E422="40% Teletrabajo (3 días a la semana)",0.6,E422="60% Teletrabajo (2 días a la semana)",0.4,E422="80% Teletrabajo (1 día a la semana)",0.2,E422="100% Teletrabajo",0)</f>
        <v>#NAME?</v>
      </c>
      <c r="I422" s="486" t="e">
        <f t="array" aca="1" ref="I422" ca="1">+_xludf.IFS(F422="Vehículo - Uso individual","Auto",F422="Vehículo - Uso compartido","Auto",F422="Transporte público/bus de acercamiento","Bus",F422="Moto","Moto",F422="Bicicleta o caminando","Bicicleta",F422="Ninguno, pues realicé 100% teletrabajo","No aplica",F422="Moto eléctrica","Moto eléctrica",F422="Vehículo eléctrico - Uso Individual","Vehículo eléctrico",F422="Vehículo eléctrico - Uso Compartido","Vehículo eléctrico")</f>
        <v>#NAME?</v>
      </c>
      <c r="J422" s="486">
        <v>1</v>
      </c>
      <c r="K422" s="1324" t="e">
        <f t="shared" ca="1" si="3"/>
        <v>#NAME?</v>
      </c>
      <c r="L422" s="1325">
        <f ca="1">+IFERROR(VLOOKUP(I422,'Factores Emisión EDGE'!$K$267:$L$272,2,0),0)</f>
        <v>0</v>
      </c>
      <c r="M422" s="1325" t="e">
        <f t="shared" ca="1" si="4"/>
        <v>#NAME?</v>
      </c>
      <c r="N422" s="486" t="s">
        <v>3043</v>
      </c>
      <c r="O422" s="1312"/>
      <c r="P422" s="1312"/>
    </row>
    <row r="423" spans="1:16" ht="15.75" customHeight="1">
      <c r="A423" s="1314">
        <v>44938.674530798613</v>
      </c>
      <c r="B423" s="1310" t="s">
        <v>3648</v>
      </c>
      <c r="C423" s="1310" t="s">
        <v>3649</v>
      </c>
      <c r="D423" s="1310" t="s">
        <v>3107</v>
      </c>
      <c r="E423" s="1310" t="s">
        <v>3042</v>
      </c>
      <c r="F423" s="1310" t="s">
        <v>1952</v>
      </c>
      <c r="G423" s="1326">
        <v>5.6</v>
      </c>
      <c r="H423" s="486" t="e">
        <f t="array" aca="1" ref="H423" ca="1">+_xludf.IFS(E423="100% Presencial",1, E423="20% Teletrabajo (4 días a la semana)",0.8,E423="40% Teletrabajo (3 días a la semana)",0.6,E423="60% Teletrabajo (2 días a la semana)",0.4,E423="80% Teletrabajo (1 día a la semana)",0.2,E423="100% Teletrabajo",0)</f>
        <v>#NAME?</v>
      </c>
      <c r="I423" s="486" t="e">
        <f t="array" aca="1" ref="I423" ca="1">+_xludf.IFS(F423="Vehículo - Uso individual","Auto",F423="Vehículo - Uso compartido","Auto",F423="Transporte público/bus de acercamiento","Bus",F423="Moto","Moto",F423="Bicicleta o caminando","Bicicleta",F423="Ninguno, pues realicé 100% teletrabajo","No aplica",F423="Moto eléctrica","Moto eléctrica",F423="Vehículo eléctrico - Uso Individual","Vehículo eléctrico",F423="Vehículo eléctrico - Uso Compartido","Vehículo eléctrico")</f>
        <v>#NAME?</v>
      </c>
      <c r="J423" s="486">
        <v>1</v>
      </c>
      <c r="K423" s="1324" t="e">
        <f t="shared" ca="1" si="3"/>
        <v>#NAME?</v>
      </c>
      <c r="L423" s="1325">
        <f ca="1">+IFERROR(VLOOKUP(I423,'Factores Emisión EDGE'!$K$267:$L$272,2,0),0)</f>
        <v>0</v>
      </c>
      <c r="M423" s="1325" t="e">
        <f t="shared" ca="1" si="4"/>
        <v>#NAME?</v>
      </c>
      <c r="N423" s="486" t="s">
        <v>3056</v>
      </c>
      <c r="O423" s="1312"/>
      <c r="P423" s="1312"/>
    </row>
    <row r="424" spans="1:16" ht="15.75" customHeight="1">
      <c r="A424" s="1314">
        <v>44929.622746759254</v>
      </c>
      <c r="B424" s="1310" t="s">
        <v>3650</v>
      </c>
      <c r="C424" s="1310" t="s">
        <v>3651</v>
      </c>
      <c r="D424" s="1310" t="s">
        <v>3048</v>
      </c>
      <c r="E424" s="1310" t="s">
        <v>881</v>
      </c>
      <c r="F424" s="1310" t="s">
        <v>1952</v>
      </c>
      <c r="G424" s="1326">
        <v>5.3</v>
      </c>
      <c r="H424" s="486" t="e">
        <f t="array" aca="1" ref="H424" ca="1">+_xludf.IFS(E424="100% Presencial",1, E424="20% Teletrabajo (4 días a la semana)",0.8,E424="40% Teletrabajo (3 días a la semana)",0.6,E424="60% Teletrabajo (2 días a la semana)",0.4,E424="80% Teletrabajo (1 día a la semana)",0.2,E424="100% Teletrabajo",0)</f>
        <v>#NAME?</v>
      </c>
      <c r="I424" s="486" t="e">
        <f t="array" aca="1" ref="I424" ca="1">+_xludf.IFS(F424="Vehículo - Uso individual","Auto",F424="Vehículo - Uso compartido","Auto",F424="Transporte público/bus de acercamiento","Bus",F424="Moto","Moto",F424="Bicicleta o caminando","Bicicleta",F424="Ninguno, pues realicé 100% teletrabajo","No aplica",F424="Moto eléctrica","Moto eléctrica",F424="Vehículo eléctrico - Uso Individual","Vehículo eléctrico",F424="Vehículo eléctrico - Uso Compartido","Vehículo eléctrico")</f>
        <v>#NAME?</v>
      </c>
      <c r="J424" s="486">
        <v>1</v>
      </c>
      <c r="K424" s="1324" t="e">
        <f t="shared" ca="1" si="3"/>
        <v>#NAME?</v>
      </c>
      <c r="L424" s="1325">
        <f ca="1">+IFERROR(VLOOKUP(I424,'Factores Emisión EDGE'!$K$267:$L$272,2,0),0)</f>
        <v>0</v>
      </c>
      <c r="M424" s="1325" t="e">
        <f t="shared" ca="1" si="4"/>
        <v>#NAME?</v>
      </c>
      <c r="N424" s="486" t="s">
        <v>3043</v>
      </c>
      <c r="O424" s="1312"/>
      <c r="P424" s="1312"/>
    </row>
    <row r="425" spans="1:16" ht="15.75" customHeight="1">
      <c r="A425" s="1314">
        <v>44930.470489652776</v>
      </c>
      <c r="B425" s="1310" t="s">
        <v>3652</v>
      </c>
      <c r="C425" s="1310" t="s">
        <v>3653</v>
      </c>
      <c r="D425" s="1310" t="s">
        <v>3107</v>
      </c>
      <c r="E425" s="1310" t="s">
        <v>3042</v>
      </c>
      <c r="F425" s="1310" t="s">
        <v>3055</v>
      </c>
      <c r="G425" s="1323">
        <v>5</v>
      </c>
      <c r="H425" s="486" t="e">
        <f t="array" aca="1" ref="H425" ca="1">+_xludf.IFS(E425="100% Presencial",1, E425="20% Teletrabajo (4 días a la semana)",0.8,E425="40% Teletrabajo (3 días a la semana)",0.6,E425="60% Teletrabajo (2 días a la semana)",0.4,E425="80% Teletrabajo (1 día a la semana)",0.2,E425="100% Teletrabajo",0)</f>
        <v>#NAME?</v>
      </c>
      <c r="I425" s="486" t="e">
        <f t="array" aca="1" ref="I425" ca="1">+_xludf.IFS(F425="Vehículo - Uso individual","Auto",F425="Vehículo - Uso compartido","Auto",F425="Transporte público/bus de acercamiento","Bus",F425="Moto","Moto",F425="Bicicleta o caminando","Bicicleta",F425="Ninguno, pues realicé 100% teletrabajo","No aplica",F425="Moto eléctrica","Moto eléctrica",F425="Vehículo eléctrico - Uso Individual","Vehículo eléctrico",F425="Vehículo eléctrico - Uso Compartido","Vehículo eléctrico")</f>
        <v>#NAME?</v>
      </c>
      <c r="J425" s="486">
        <v>1</v>
      </c>
      <c r="K425" s="1324" t="e">
        <f t="shared" ca="1" si="3"/>
        <v>#NAME?</v>
      </c>
      <c r="L425" s="1325">
        <f ca="1">+IFERROR(VLOOKUP(I425,'Factores Emisión EDGE'!$K$267:$L$272,2,0),0)</f>
        <v>0</v>
      </c>
      <c r="M425" s="1325" t="e">
        <f t="shared" ca="1" si="4"/>
        <v>#NAME?</v>
      </c>
      <c r="N425" s="486" t="s">
        <v>3056</v>
      </c>
      <c r="O425" s="1312"/>
      <c r="P425" s="1312"/>
    </row>
    <row r="426" spans="1:16" ht="15.75" customHeight="1">
      <c r="A426" s="1314">
        <v>44929.533778310186</v>
      </c>
      <c r="B426" s="1310" t="s">
        <v>3654</v>
      </c>
      <c r="C426" s="1310" t="s">
        <v>3655</v>
      </c>
      <c r="D426" s="1310" t="s">
        <v>3242</v>
      </c>
      <c r="E426" s="1310" t="s">
        <v>3042</v>
      </c>
      <c r="F426" s="1310" t="s">
        <v>1952</v>
      </c>
      <c r="G426" s="1323">
        <v>5</v>
      </c>
      <c r="H426" s="486" t="e">
        <f t="array" aca="1" ref="H426" ca="1">+_xludf.IFS(E426="100% Presencial",1, E426="20% Teletrabajo (4 días a la semana)",0.8,E426="40% Teletrabajo (3 días a la semana)",0.6,E426="60% Teletrabajo (2 días a la semana)",0.4,E426="80% Teletrabajo (1 día a la semana)",0.2,E426="100% Teletrabajo",0)</f>
        <v>#NAME?</v>
      </c>
      <c r="I426" s="486" t="e">
        <f t="array" aca="1" ref="I426" ca="1">+_xludf.IFS(F426="Vehículo - Uso individual","Auto",F426="Vehículo - Uso compartido","Auto",F426="Transporte público/bus de acercamiento","Bus",F426="Moto","Moto",F426="Bicicleta o caminando","Bicicleta",F426="Ninguno, pues realicé 100% teletrabajo","No aplica",F426="Moto eléctrica","Moto eléctrica",F426="Vehículo eléctrico - Uso Individual","Vehículo eléctrico",F426="Vehículo eléctrico - Uso Compartido","Vehículo eléctrico")</f>
        <v>#NAME?</v>
      </c>
      <c r="J426" s="486">
        <v>1</v>
      </c>
      <c r="K426" s="1324" t="e">
        <f t="shared" ca="1" si="3"/>
        <v>#NAME?</v>
      </c>
      <c r="L426" s="1325">
        <f ca="1">+IFERROR(VLOOKUP(I426,'Factores Emisión EDGE'!$K$267:$L$272,2,0),0)</f>
        <v>0</v>
      </c>
      <c r="M426" s="1325" t="e">
        <f t="shared" ca="1" si="4"/>
        <v>#NAME?</v>
      </c>
      <c r="N426" s="486" t="s">
        <v>3043</v>
      </c>
      <c r="O426" s="1312"/>
      <c r="P426" s="1312"/>
    </row>
    <row r="427" spans="1:16" ht="15.75" customHeight="1">
      <c r="A427" s="1314">
        <v>44938.814568981485</v>
      </c>
      <c r="B427" s="1310" t="s">
        <v>3656</v>
      </c>
      <c r="C427" s="1310" t="s">
        <v>3657</v>
      </c>
      <c r="D427" s="1310" t="s">
        <v>3054</v>
      </c>
      <c r="E427" s="1310" t="s">
        <v>3042</v>
      </c>
      <c r="F427" s="1310" t="s">
        <v>1952</v>
      </c>
      <c r="G427" s="1323">
        <v>5</v>
      </c>
      <c r="H427" s="486" t="e">
        <f t="array" aca="1" ref="H427" ca="1">+_xludf.IFS(E427="100% Presencial",1, E427="20% Teletrabajo (4 días a la semana)",0.8,E427="40% Teletrabajo (3 días a la semana)",0.6,E427="60% Teletrabajo (2 días a la semana)",0.4,E427="80% Teletrabajo (1 día a la semana)",0.2,E427="100% Teletrabajo",0)</f>
        <v>#NAME?</v>
      </c>
      <c r="I427" s="486" t="e">
        <f t="array" aca="1" ref="I427" ca="1">+_xludf.IFS(F427="Vehículo - Uso individual","Auto",F427="Vehículo - Uso compartido","Auto",F427="Transporte público/bus de acercamiento","Bus",F427="Moto","Moto",F427="Bicicleta o caminando","Bicicleta",F427="Ninguno, pues realicé 100% teletrabajo","No aplica",F427="Moto eléctrica","Moto eléctrica",F427="Vehículo eléctrico - Uso Individual","Vehículo eléctrico",F427="Vehículo eléctrico - Uso Compartido","Vehículo eléctrico")</f>
        <v>#NAME?</v>
      </c>
      <c r="J427" s="486">
        <v>1</v>
      </c>
      <c r="K427" s="1324" t="e">
        <f t="shared" ca="1" si="3"/>
        <v>#NAME?</v>
      </c>
      <c r="L427" s="1325">
        <f ca="1">+IFERROR(VLOOKUP(I427,'Factores Emisión EDGE'!$K$267:$L$272,2,0),0)</f>
        <v>0</v>
      </c>
      <c r="M427" s="1325" t="e">
        <f t="shared" ca="1" si="4"/>
        <v>#NAME?</v>
      </c>
      <c r="N427" s="486" t="s">
        <v>3056</v>
      </c>
      <c r="O427" s="1312"/>
      <c r="P427" s="1312"/>
    </row>
    <row r="428" spans="1:16" ht="15.75" customHeight="1">
      <c r="A428" s="1314">
        <v>44929.490252164353</v>
      </c>
      <c r="B428" s="1310" t="s">
        <v>2745</v>
      </c>
      <c r="C428" s="1310" t="s">
        <v>2746</v>
      </c>
      <c r="D428" s="1310" t="s">
        <v>3048</v>
      </c>
      <c r="E428" s="1310" t="s">
        <v>883</v>
      </c>
      <c r="F428" s="1310" t="s">
        <v>1952</v>
      </c>
      <c r="G428" s="1323">
        <v>5</v>
      </c>
      <c r="H428" s="486" t="e">
        <f t="array" aca="1" ref="H428" ca="1">+_xludf.IFS(E428="100% Presencial",1, E428="20% Teletrabajo (4 días a la semana)",0.8,E428="40% Teletrabajo (3 días a la semana)",0.6,E428="60% Teletrabajo (2 días a la semana)",0.4,E428="80% Teletrabajo (1 día a la semana)",0.2,E428="100% Teletrabajo",0)</f>
        <v>#NAME?</v>
      </c>
      <c r="I428" s="486" t="e">
        <f t="array" aca="1" ref="I428" ca="1">+_xludf.IFS(F428="Vehículo - Uso individual","Auto",F428="Vehículo - Uso compartido","Auto",F428="Transporte público/bus de acercamiento","Bus",F428="Moto","Moto",F428="Bicicleta o caminando","Bicicleta",F428="Ninguno, pues realicé 100% teletrabajo","No aplica",F428="Moto eléctrica","Moto eléctrica",F428="Vehículo eléctrico - Uso Individual","Vehículo eléctrico",F428="Vehículo eléctrico - Uso Compartido","Vehículo eléctrico")</f>
        <v>#NAME?</v>
      </c>
      <c r="J428" s="486">
        <v>1</v>
      </c>
      <c r="K428" s="1324" t="e">
        <f t="shared" ca="1" si="3"/>
        <v>#NAME?</v>
      </c>
      <c r="L428" s="1325">
        <f ca="1">+IFERROR(VLOOKUP(I428,'Factores Emisión EDGE'!$K$267:$L$272,2,0),0)</f>
        <v>0</v>
      </c>
      <c r="M428" s="1325" t="e">
        <f t="shared" ca="1" si="4"/>
        <v>#NAME?</v>
      </c>
      <c r="N428" s="486" t="s">
        <v>3043</v>
      </c>
      <c r="O428" s="1312"/>
      <c r="P428" s="1312"/>
    </row>
    <row r="429" spans="1:16" ht="15.75" customHeight="1">
      <c r="A429" s="1314">
        <v>44929.632618831019</v>
      </c>
      <c r="B429" s="1310" t="s">
        <v>3658</v>
      </c>
      <c r="C429" s="1310" t="s">
        <v>2707</v>
      </c>
      <c r="D429" s="1310" t="s">
        <v>3107</v>
      </c>
      <c r="E429" s="1310" t="s">
        <v>3042</v>
      </c>
      <c r="F429" s="1310" t="s">
        <v>1952</v>
      </c>
      <c r="G429" s="1323">
        <v>5</v>
      </c>
      <c r="H429" s="486" t="e">
        <f t="array" aca="1" ref="H429" ca="1">+_xludf.IFS(E429="100% Presencial",1, E429="20% Teletrabajo (4 días a la semana)",0.8,E429="40% Teletrabajo (3 días a la semana)",0.6,E429="60% Teletrabajo (2 días a la semana)",0.4,E429="80% Teletrabajo (1 día a la semana)",0.2,E429="100% Teletrabajo",0)</f>
        <v>#NAME?</v>
      </c>
      <c r="I429" s="486" t="e">
        <f t="array" aca="1" ref="I429" ca="1">+_xludf.IFS(F429="Vehículo - Uso individual","Auto",F429="Vehículo - Uso compartido","Auto",F429="Transporte público/bus de acercamiento","Bus",F429="Moto","Moto",F429="Bicicleta o caminando","Bicicleta",F429="Ninguno, pues realicé 100% teletrabajo","No aplica",F429="Moto eléctrica","Moto eléctrica",F429="Vehículo eléctrico - Uso Individual","Vehículo eléctrico",F429="Vehículo eléctrico - Uso Compartido","Vehículo eléctrico")</f>
        <v>#NAME?</v>
      </c>
      <c r="J429" s="486">
        <v>1</v>
      </c>
      <c r="K429" s="1324" t="e">
        <f t="shared" ca="1" si="3"/>
        <v>#NAME?</v>
      </c>
      <c r="L429" s="1325">
        <f ca="1">+IFERROR(VLOOKUP(I429,'Factores Emisión EDGE'!$K$267:$L$272,2,0),0)</f>
        <v>0</v>
      </c>
      <c r="M429" s="1325" t="e">
        <f t="shared" ca="1" si="4"/>
        <v>#NAME?</v>
      </c>
      <c r="N429" s="486" t="s">
        <v>3043</v>
      </c>
      <c r="O429" s="1312"/>
      <c r="P429" s="1312"/>
    </row>
    <row r="430" spans="1:16" ht="15.75" customHeight="1">
      <c r="A430" s="1314">
        <v>44938.546282210649</v>
      </c>
      <c r="B430" s="1310" t="s">
        <v>3659</v>
      </c>
      <c r="C430" s="1310" t="s">
        <v>3660</v>
      </c>
      <c r="D430" s="1310" t="s">
        <v>3048</v>
      </c>
      <c r="E430" s="1310" t="s">
        <v>3042</v>
      </c>
      <c r="F430" s="1310" t="s">
        <v>3055</v>
      </c>
      <c r="G430" s="1323">
        <v>5</v>
      </c>
      <c r="H430" s="486" t="e">
        <f t="array" aca="1" ref="H430" ca="1">+_xludf.IFS(E430="100% Presencial",1, E430="20% Teletrabajo (4 días a la semana)",0.8,E430="40% Teletrabajo (3 días a la semana)",0.6,E430="60% Teletrabajo (2 días a la semana)",0.4,E430="80% Teletrabajo (1 día a la semana)",0.2,E430="100% Teletrabajo",0)</f>
        <v>#NAME?</v>
      </c>
      <c r="I430" s="486" t="e">
        <f t="array" aca="1" ref="I430" ca="1">+_xludf.IFS(F430="Vehículo - Uso individual","Auto",F430="Vehículo - Uso compartido","Auto",F430="Transporte público/bus de acercamiento","Bus",F430="Moto","Moto",F430="Bicicleta o caminando","Bicicleta",F430="Ninguno, pues realicé 100% teletrabajo","No aplica",F430="Moto eléctrica","Moto eléctrica",F430="Vehículo eléctrico - Uso Individual","Vehículo eléctrico",F430="Vehículo eléctrico - Uso Compartido","Vehículo eléctrico")</f>
        <v>#NAME?</v>
      </c>
      <c r="J430" s="486">
        <v>1</v>
      </c>
      <c r="K430" s="1324" t="e">
        <f t="shared" ca="1" si="3"/>
        <v>#NAME?</v>
      </c>
      <c r="L430" s="1325">
        <f ca="1">+IFERROR(VLOOKUP(I430,'Factores Emisión EDGE'!$K$267:$L$272,2,0),0)</f>
        <v>0</v>
      </c>
      <c r="M430" s="1325" t="e">
        <f t="shared" ca="1" si="4"/>
        <v>#NAME?</v>
      </c>
      <c r="N430" s="486" t="s">
        <v>3056</v>
      </c>
      <c r="O430" s="1312"/>
      <c r="P430" s="1312"/>
    </row>
    <row r="431" spans="1:16" ht="15.75" customHeight="1">
      <c r="A431" s="1314">
        <v>44929.505478437495</v>
      </c>
      <c r="B431" s="1310" t="s">
        <v>3661</v>
      </c>
      <c r="C431" s="1310" t="s">
        <v>2597</v>
      </c>
      <c r="D431" s="1310" t="s">
        <v>3046</v>
      </c>
      <c r="E431" s="1310" t="s">
        <v>3042</v>
      </c>
      <c r="F431" s="1310" t="s">
        <v>1952</v>
      </c>
      <c r="G431" s="1323">
        <v>5</v>
      </c>
      <c r="H431" s="486" t="e">
        <f t="array" aca="1" ref="H431" ca="1">+_xludf.IFS(E431="100% Presencial",1, E431="20% Teletrabajo (4 días a la semana)",0.8,E431="40% Teletrabajo (3 días a la semana)",0.6,E431="60% Teletrabajo (2 días a la semana)",0.4,E431="80% Teletrabajo (1 día a la semana)",0.2,E431="100% Teletrabajo",0)</f>
        <v>#NAME?</v>
      </c>
      <c r="I431" s="486" t="e">
        <f t="array" aca="1" ref="I431" ca="1">+_xludf.IFS(F431="Vehículo - Uso individual","Auto",F431="Vehículo - Uso compartido","Auto",F431="Transporte público/bus de acercamiento","Bus",F431="Moto","Moto",F431="Bicicleta o caminando","Bicicleta",F431="Ninguno, pues realicé 100% teletrabajo","No aplica",F431="Moto eléctrica","Moto eléctrica",F431="Vehículo eléctrico - Uso Individual","Vehículo eléctrico",F431="Vehículo eléctrico - Uso Compartido","Vehículo eléctrico")</f>
        <v>#NAME?</v>
      </c>
      <c r="J431" s="486">
        <v>1</v>
      </c>
      <c r="K431" s="1324" t="e">
        <f t="shared" ca="1" si="3"/>
        <v>#NAME?</v>
      </c>
      <c r="L431" s="1325">
        <f ca="1">+IFERROR(VLOOKUP(I431,'Factores Emisión EDGE'!$K$267:$L$272,2,0),0)</f>
        <v>0</v>
      </c>
      <c r="M431" s="1325" t="e">
        <f t="shared" ca="1" si="4"/>
        <v>#NAME?</v>
      </c>
      <c r="N431" s="486" t="s">
        <v>3043</v>
      </c>
      <c r="O431" s="1312"/>
      <c r="P431" s="1312"/>
    </row>
    <row r="432" spans="1:16" ht="15.75" customHeight="1">
      <c r="A432" s="1314">
        <v>44929.947730069442</v>
      </c>
      <c r="B432" s="1310" t="s">
        <v>3662</v>
      </c>
      <c r="C432" s="1310" t="s">
        <v>3663</v>
      </c>
      <c r="D432" s="1310" t="s">
        <v>3664</v>
      </c>
      <c r="E432" s="1310" t="s">
        <v>3066</v>
      </c>
      <c r="F432" s="1310" t="s">
        <v>1952</v>
      </c>
      <c r="G432" s="1323">
        <v>5</v>
      </c>
      <c r="H432" s="486" t="e">
        <f t="array" aca="1" ref="H432" ca="1">+_xludf.IFS(E432="100% Presencial",1, E432="20% Teletrabajo (4 días a la semana)",0.8,E432="40% Teletrabajo (3 días a la semana)",0.6,E432="60% Teletrabajo (2 días a la semana)",0.4,E432="80% Teletrabajo (1 día a la semana)",0.2,E432="100% Teletrabajo",0)</f>
        <v>#NAME?</v>
      </c>
      <c r="I432" s="486" t="e">
        <f t="array" aca="1" ref="I432" ca="1">+_xludf.IFS(F432="Vehículo - Uso individual","Auto",F432="Vehículo - Uso compartido","Auto",F432="Transporte público/bus de acercamiento","Bus",F432="Moto","Moto",F432="Bicicleta o caminando","Bicicleta",F432="Ninguno, pues realicé 100% teletrabajo","No aplica",F432="Moto eléctrica","Moto eléctrica",F432="Vehículo eléctrico - Uso Individual","Vehículo eléctrico",F432="Vehículo eléctrico - Uso Compartido","Vehículo eléctrico")</f>
        <v>#NAME?</v>
      </c>
      <c r="J432" s="486">
        <v>1</v>
      </c>
      <c r="K432" s="1324" t="e">
        <f t="shared" ca="1" si="3"/>
        <v>#NAME?</v>
      </c>
      <c r="L432" s="1325">
        <f ca="1">+IFERROR(VLOOKUP(I432,'Factores Emisión EDGE'!$K$267:$L$272,2,0),0)</f>
        <v>0</v>
      </c>
      <c r="M432" s="1325" t="e">
        <f t="shared" ca="1" si="4"/>
        <v>#NAME?</v>
      </c>
      <c r="N432" s="486" t="s">
        <v>3043</v>
      </c>
      <c r="O432" s="1312"/>
      <c r="P432" s="1312"/>
    </row>
    <row r="433" spans="1:16" ht="15.75" customHeight="1">
      <c r="A433" s="1314">
        <v>44939.397660405091</v>
      </c>
      <c r="B433" s="1310" t="s">
        <v>3665</v>
      </c>
      <c r="C433" s="1310" t="s">
        <v>3666</v>
      </c>
      <c r="D433" s="1310" t="s">
        <v>3046</v>
      </c>
      <c r="E433" s="1310" t="s">
        <v>3042</v>
      </c>
      <c r="F433" s="1310" t="s">
        <v>1952</v>
      </c>
      <c r="G433" s="1323">
        <v>5</v>
      </c>
      <c r="H433" s="486" t="e">
        <f t="array" aca="1" ref="H433" ca="1">+_xludf.IFS(E433="100% Presencial",1, E433="20% Teletrabajo (4 días a la semana)",0.8,E433="40% Teletrabajo (3 días a la semana)",0.6,E433="60% Teletrabajo (2 días a la semana)",0.4,E433="80% Teletrabajo (1 día a la semana)",0.2,E433="100% Teletrabajo",0)</f>
        <v>#NAME?</v>
      </c>
      <c r="I433" s="486" t="e">
        <f t="array" aca="1" ref="I433" ca="1">+_xludf.IFS(F433="Vehículo - Uso individual","Auto",F433="Vehículo - Uso compartido","Auto",F433="Transporte público/bus de acercamiento","Bus",F433="Moto","Moto",F433="Bicicleta o caminando","Bicicleta",F433="Ninguno, pues realicé 100% teletrabajo","No aplica",F433="Moto eléctrica","Moto eléctrica",F433="Vehículo eléctrico - Uso Individual","Vehículo eléctrico",F433="Vehículo eléctrico - Uso Compartido","Vehículo eléctrico")</f>
        <v>#NAME?</v>
      </c>
      <c r="J433" s="486">
        <v>1</v>
      </c>
      <c r="K433" s="1324" t="e">
        <f t="shared" ca="1" si="3"/>
        <v>#NAME?</v>
      </c>
      <c r="L433" s="1325">
        <f ca="1">+IFERROR(VLOOKUP(I433,'Factores Emisión EDGE'!$K$267:$L$272,2,0),0)</f>
        <v>0</v>
      </c>
      <c r="M433" s="1325" t="e">
        <f t="shared" ca="1" si="4"/>
        <v>#NAME?</v>
      </c>
      <c r="N433" s="486" t="s">
        <v>3043</v>
      </c>
      <c r="O433" s="1312"/>
      <c r="P433" s="1312"/>
    </row>
    <row r="434" spans="1:16" ht="15.75" customHeight="1">
      <c r="A434" s="1314">
        <v>44930.514236435185</v>
      </c>
      <c r="B434" s="1310" t="s">
        <v>3667</v>
      </c>
      <c r="C434" s="1310" t="s">
        <v>3668</v>
      </c>
      <c r="D434" s="1310" t="s">
        <v>3048</v>
      </c>
      <c r="E434" s="1310" t="s">
        <v>3042</v>
      </c>
      <c r="F434" s="1310" t="s">
        <v>1995</v>
      </c>
      <c r="G434" s="1323">
        <v>5</v>
      </c>
      <c r="H434" s="486" t="e">
        <f t="array" aca="1" ref="H434" ca="1">+_xludf.IFS(E434="100% Presencial",1, E434="20% Teletrabajo (4 días a la semana)",0.8,E434="40% Teletrabajo (3 días a la semana)",0.6,E434="60% Teletrabajo (2 días a la semana)",0.4,E434="80% Teletrabajo (1 día a la semana)",0.2,E434="100% Teletrabajo",0)</f>
        <v>#NAME?</v>
      </c>
      <c r="I434" s="486" t="e">
        <f t="array" aca="1" ref="I434" ca="1">+_xludf.IFS(F434="Vehículo - Uso individual","Auto",F434="Vehículo - Uso compartido","Auto",F434="Transporte público/bus de acercamiento","Bus",F434="Moto","Moto",F434="Bicicleta o caminando","Bicicleta",F434="Ninguno, pues realicé 100% teletrabajo","No aplica",F434="Moto eléctrica","Moto eléctrica",F434="Vehículo eléctrico - Uso Individual","Vehículo eléctrico",F434="Vehículo eléctrico - Uso Compartido","Vehículo eléctrico")</f>
        <v>#NAME?</v>
      </c>
      <c r="J434" s="486">
        <v>0.25</v>
      </c>
      <c r="K434" s="1324" t="e">
        <f t="shared" ca="1" si="3"/>
        <v>#NAME?</v>
      </c>
      <c r="L434" s="1325">
        <f ca="1">+IFERROR(VLOOKUP(I434,'Factores Emisión EDGE'!$K$267:$L$272,2,0),0)</f>
        <v>0</v>
      </c>
      <c r="M434" s="1325" t="e">
        <f t="shared" ca="1" si="4"/>
        <v>#NAME?</v>
      </c>
      <c r="N434" s="486" t="s">
        <v>3056</v>
      </c>
      <c r="O434" s="1312"/>
      <c r="P434" s="1312"/>
    </row>
    <row r="435" spans="1:16" ht="15.75" customHeight="1">
      <c r="A435" s="1314">
        <v>44929.484347071761</v>
      </c>
      <c r="B435" s="1310" t="s">
        <v>3669</v>
      </c>
      <c r="C435" s="1310" t="s">
        <v>3670</v>
      </c>
      <c r="D435" s="1310" t="s">
        <v>3048</v>
      </c>
      <c r="E435" s="1310" t="s">
        <v>883</v>
      </c>
      <c r="F435" s="1310" t="s">
        <v>1952</v>
      </c>
      <c r="G435" s="1323">
        <v>5</v>
      </c>
      <c r="H435" s="486" t="e">
        <f t="array" aca="1" ref="H435" ca="1">+_xludf.IFS(E435="100% Presencial",1, E435="20% Teletrabajo (4 días a la semana)",0.8,E435="40% Teletrabajo (3 días a la semana)",0.6,E435="60% Teletrabajo (2 días a la semana)",0.4,E435="80% Teletrabajo (1 día a la semana)",0.2,E435="100% Teletrabajo",0)</f>
        <v>#NAME?</v>
      </c>
      <c r="I435" s="486" t="e">
        <f t="array" aca="1" ref="I435" ca="1">+_xludf.IFS(F435="Vehículo - Uso individual","Auto",F435="Vehículo - Uso compartido","Auto",F435="Transporte público/bus de acercamiento","Bus",F435="Moto","Moto",F435="Bicicleta o caminando","Bicicleta",F435="Ninguno, pues realicé 100% teletrabajo","No aplica",F435="Moto eléctrica","Moto eléctrica",F435="Vehículo eléctrico - Uso Individual","Vehículo eléctrico",F435="Vehículo eléctrico - Uso Compartido","Vehículo eléctrico")</f>
        <v>#NAME?</v>
      </c>
      <c r="J435" s="486">
        <v>1</v>
      </c>
      <c r="K435" s="1324" t="e">
        <f t="shared" ca="1" si="3"/>
        <v>#NAME?</v>
      </c>
      <c r="L435" s="1325">
        <f ca="1">+IFERROR(VLOOKUP(I435,'Factores Emisión EDGE'!$K$267:$L$272,2,0),0)</f>
        <v>0</v>
      </c>
      <c r="M435" s="1325" t="e">
        <f t="shared" ca="1" si="4"/>
        <v>#NAME?</v>
      </c>
      <c r="N435" s="486" t="s">
        <v>3043</v>
      </c>
      <c r="O435" s="1312"/>
      <c r="P435" s="1312"/>
    </row>
    <row r="436" spans="1:16" ht="15.75" customHeight="1">
      <c r="A436" s="1314">
        <v>44929.507923668978</v>
      </c>
      <c r="B436" s="1310" t="s">
        <v>3671</v>
      </c>
      <c r="C436" s="1310" t="s">
        <v>3672</v>
      </c>
      <c r="D436" s="1310" t="s">
        <v>3048</v>
      </c>
      <c r="E436" s="1310" t="s">
        <v>885</v>
      </c>
      <c r="F436" s="1310" t="s">
        <v>1952</v>
      </c>
      <c r="G436" s="1323">
        <v>5</v>
      </c>
      <c r="H436" s="486" t="e">
        <f t="array" aca="1" ref="H436" ca="1">+_xludf.IFS(E436="100% Presencial",1, E436="20% Teletrabajo (4 días a la semana)",0.8,E436="40% Teletrabajo (3 días a la semana)",0.6,E436="60% Teletrabajo (2 días a la semana)",0.4,E436="80% Teletrabajo (1 día a la semana)",0.2,E436="100% Teletrabajo",0)</f>
        <v>#NAME?</v>
      </c>
      <c r="I436" s="486" t="e">
        <f t="array" aca="1" ref="I436" ca="1">+_xludf.IFS(F436="Vehículo - Uso individual","Auto",F436="Vehículo - Uso compartido","Auto",F436="Transporte público/bus de acercamiento","Bus",F436="Moto","Moto",F436="Bicicleta o caminando","Bicicleta",F436="Ninguno, pues realicé 100% teletrabajo","No aplica",F436="Moto eléctrica","Moto eléctrica",F436="Vehículo eléctrico - Uso Individual","Vehículo eléctrico",F436="Vehículo eléctrico - Uso Compartido","Vehículo eléctrico")</f>
        <v>#NAME?</v>
      </c>
      <c r="J436" s="486">
        <v>1</v>
      </c>
      <c r="K436" s="1324" t="e">
        <f t="shared" ca="1" si="3"/>
        <v>#NAME?</v>
      </c>
      <c r="L436" s="1325">
        <f ca="1">+IFERROR(VLOOKUP(I436,'Factores Emisión EDGE'!$K$267:$L$272,2,0),0)</f>
        <v>0</v>
      </c>
      <c r="M436" s="1325" t="e">
        <f t="shared" ca="1" si="4"/>
        <v>#NAME?</v>
      </c>
      <c r="N436" s="486" t="s">
        <v>3043</v>
      </c>
      <c r="O436" s="1312"/>
      <c r="P436" s="1312"/>
    </row>
    <row r="437" spans="1:16" ht="15.75" customHeight="1">
      <c r="A437" s="1314">
        <v>44930.320529282406</v>
      </c>
      <c r="B437" s="1310" t="s">
        <v>2739</v>
      </c>
      <c r="C437" s="1310" t="s">
        <v>2740</v>
      </c>
      <c r="D437" s="1310" t="s">
        <v>3080</v>
      </c>
      <c r="E437" s="1310" t="s">
        <v>3042</v>
      </c>
      <c r="F437" s="1310" t="s">
        <v>1952</v>
      </c>
      <c r="G437" s="1323">
        <v>5</v>
      </c>
      <c r="H437" s="486" t="e">
        <f t="array" aca="1" ref="H437" ca="1">+_xludf.IFS(E437="100% Presencial",1, E437="20% Teletrabajo (4 días a la semana)",0.8,E437="40% Teletrabajo (3 días a la semana)",0.6,E437="60% Teletrabajo (2 días a la semana)",0.4,E437="80% Teletrabajo (1 día a la semana)",0.2,E437="100% Teletrabajo",0)</f>
        <v>#NAME?</v>
      </c>
      <c r="I437" s="486" t="e">
        <f t="array" aca="1" ref="I437" ca="1">+_xludf.IFS(F437="Vehículo - Uso individual","Auto",F437="Vehículo - Uso compartido","Auto",F437="Transporte público/bus de acercamiento","Bus",F437="Moto","Moto",F437="Bicicleta o caminando","Bicicleta",F437="Ninguno, pues realicé 100% teletrabajo","No aplica",F437="Moto eléctrica","Moto eléctrica",F437="Vehículo eléctrico - Uso Individual","Vehículo eléctrico",F437="Vehículo eléctrico - Uso Compartido","Vehículo eléctrico")</f>
        <v>#NAME?</v>
      </c>
      <c r="J437" s="486">
        <v>1</v>
      </c>
      <c r="K437" s="1324" t="e">
        <f t="shared" ca="1" si="3"/>
        <v>#NAME?</v>
      </c>
      <c r="L437" s="1325">
        <f ca="1">+IFERROR(VLOOKUP(I437,'Factores Emisión EDGE'!$K$267:$L$272,2,0),0)</f>
        <v>0</v>
      </c>
      <c r="M437" s="1325" t="e">
        <f t="shared" ca="1" si="4"/>
        <v>#NAME?</v>
      </c>
      <c r="N437" s="486" t="s">
        <v>3043</v>
      </c>
      <c r="O437" s="1312"/>
      <c r="P437" s="1312"/>
    </row>
    <row r="438" spans="1:16" ht="15.75" customHeight="1">
      <c r="A438" s="1314">
        <v>44930.694297986112</v>
      </c>
      <c r="B438" s="1310" t="s">
        <v>3673</v>
      </c>
      <c r="C438" s="1310" t="s">
        <v>3674</v>
      </c>
      <c r="D438" s="1310" t="s">
        <v>3063</v>
      </c>
      <c r="E438" s="1310" t="s">
        <v>3042</v>
      </c>
      <c r="F438" s="1310" t="s">
        <v>1983</v>
      </c>
      <c r="G438" s="1323">
        <v>5</v>
      </c>
      <c r="H438" s="486" t="e">
        <f t="array" aca="1" ref="H438" ca="1">+_xludf.IFS(E438="100% Presencial",1, E438="20% Teletrabajo (4 días a la semana)",0.8,E438="40% Teletrabajo (3 días a la semana)",0.6,E438="60% Teletrabajo (2 días a la semana)",0.4,E438="80% Teletrabajo (1 día a la semana)",0.2,E438="100% Teletrabajo",0)</f>
        <v>#NAME?</v>
      </c>
      <c r="I438" s="486" t="e">
        <f t="array" aca="1" ref="I438" ca="1">+_xludf.IFS(F438="Vehículo - Uso individual","Auto",F438="Vehículo - Uso compartido","Auto",F438="Transporte público/bus de acercamiento","Bus",F438="Moto","Moto",F438="Bicicleta o caminando","Bicicleta",F438="Ninguno, pues realicé 100% teletrabajo","No aplica",F438="Moto eléctrica","Moto eléctrica",F438="Vehículo eléctrico - Uso Individual","Vehículo eléctrico",F438="Vehículo eléctrico - Uso Compartido","Vehículo eléctrico")</f>
        <v>#NAME?</v>
      </c>
      <c r="J438" s="486">
        <v>1</v>
      </c>
      <c r="K438" s="1324" t="e">
        <f t="shared" ca="1" si="3"/>
        <v>#NAME?</v>
      </c>
      <c r="L438" s="1325">
        <f ca="1">+IFERROR(VLOOKUP(I438,'Factores Emisión EDGE'!$K$267:$L$272,2,0),0)</f>
        <v>0</v>
      </c>
      <c r="M438" s="1325" t="e">
        <f t="shared" ca="1" si="4"/>
        <v>#NAME?</v>
      </c>
      <c r="N438" s="486" t="s">
        <v>3056</v>
      </c>
      <c r="O438" s="1312"/>
      <c r="P438" s="1312"/>
    </row>
    <row r="439" spans="1:16" ht="15.75" customHeight="1">
      <c r="A439" s="1314">
        <v>44930.759119374998</v>
      </c>
      <c r="B439" s="1310" t="s">
        <v>3675</v>
      </c>
      <c r="C439" s="1310" t="s">
        <v>3676</v>
      </c>
      <c r="D439" s="1310" t="s">
        <v>3048</v>
      </c>
      <c r="E439" s="1310" t="s">
        <v>3042</v>
      </c>
      <c r="F439" s="1310" t="s">
        <v>1952</v>
      </c>
      <c r="G439" s="1323">
        <v>5</v>
      </c>
      <c r="H439" s="486" t="e">
        <f t="array" aca="1" ref="H439" ca="1">+_xludf.IFS(E439="100% Presencial",1, E439="20% Teletrabajo (4 días a la semana)",0.8,E439="40% Teletrabajo (3 días a la semana)",0.6,E439="60% Teletrabajo (2 días a la semana)",0.4,E439="80% Teletrabajo (1 día a la semana)",0.2,E439="100% Teletrabajo",0)</f>
        <v>#NAME?</v>
      </c>
      <c r="I439" s="486" t="e">
        <f t="array" aca="1" ref="I439" ca="1">+_xludf.IFS(F439="Vehículo - Uso individual","Auto",F439="Vehículo - Uso compartido","Auto",F439="Transporte público/bus de acercamiento","Bus",F439="Moto","Moto",F439="Bicicleta o caminando","Bicicleta",F439="Ninguno, pues realicé 100% teletrabajo","No aplica",F439="Moto eléctrica","Moto eléctrica",F439="Vehículo eléctrico - Uso Individual","Vehículo eléctrico",F439="Vehículo eléctrico - Uso Compartido","Vehículo eléctrico")</f>
        <v>#NAME?</v>
      </c>
      <c r="J439" s="486">
        <v>1</v>
      </c>
      <c r="K439" s="1324" t="e">
        <f t="shared" ca="1" si="3"/>
        <v>#NAME?</v>
      </c>
      <c r="L439" s="1325">
        <f ca="1">+IFERROR(VLOOKUP(I439,'Factores Emisión EDGE'!$K$267:$L$272,2,0),0)</f>
        <v>0</v>
      </c>
      <c r="M439" s="1325" t="e">
        <f t="shared" ca="1" si="4"/>
        <v>#NAME?</v>
      </c>
      <c r="N439" s="486" t="s">
        <v>3056</v>
      </c>
      <c r="O439" s="1312"/>
      <c r="P439" s="1312"/>
    </row>
    <row r="440" spans="1:16" ht="15.75" customHeight="1">
      <c r="A440" s="1314">
        <v>44938.55135061343</v>
      </c>
      <c r="B440" s="1310" t="s">
        <v>3677</v>
      </c>
      <c r="C440" s="1310" t="s">
        <v>3678</v>
      </c>
      <c r="D440" s="1310" t="s">
        <v>3107</v>
      </c>
      <c r="E440" s="1310" t="s">
        <v>3042</v>
      </c>
      <c r="F440" s="1310" t="s">
        <v>3055</v>
      </c>
      <c r="G440" s="1323">
        <v>5</v>
      </c>
      <c r="H440" s="486" t="e">
        <f t="array" aca="1" ref="H440" ca="1">+_xludf.IFS(E440="100% Presencial",1, E440="20% Teletrabajo (4 días a la semana)",0.8,E440="40% Teletrabajo (3 días a la semana)",0.6,E440="60% Teletrabajo (2 días a la semana)",0.4,E440="80% Teletrabajo (1 día a la semana)",0.2,E440="100% Teletrabajo",0)</f>
        <v>#NAME?</v>
      </c>
      <c r="I440" s="486" t="e">
        <f t="array" aca="1" ref="I440" ca="1">+_xludf.IFS(F440="Vehículo - Uso individual","Auto",F440="Vehículo - Uso compartido","Auto",F440="Transporte público/bus de acercamiento","Bus",F440="Moto","Moto",F440="Bicicleta o caminando","Bicicleta",F440="Ninguno, pues realicé 100% teletrabajo","No aplica",F440="Moto eléctrica","Moto eléctrica",F440="Vehículo eléctrico - Uso Individual","Vehículo eléctrico",F440="Vehículo eléctrico - Uso Compartido","Vehículo eléctrico")</f>
        <v>#NAME?</v>
      </c>
      <c r="J440" s="486">
        <v>1</v>
      </c>
      <c r="K440" s="1324" t="e">
        <f t="shared" ca="1" si="3"/>
        <v>#NAME?</v>
      </c>
      <c r="L440" s="1325">
        <f ca="1">+IFERROR(VLOOKUP(I440,'Factores Emisión EDGE'!$K$267:$L$272,2,0),0)</f>
        <v>0</v>
      </c>
      <c r="M440" s="1325" t="e">
        <f t="shared" ca="1" si="4"/>
        <v>#NAME?</v>
      </c>
      <c r="N440" s="486" t="s">
        <v>3056</v>
      </c>
      <c r="O440" s="1312"/>
      <c r="P440" s="1312"/>
    </row>
    <row r="441" spans="1:16" ht="15.75" customHeight="1">
      <c r="A441" s="1314">
        <v>44939.011959826385</v>
      </c>
      <c r="B441" s="1310" t="s">
        <v>3679</v>
      </c>
      <c r="C441" s="1310" t="s">
        <v>3680</v>
      </c>
      <c r="D441" s="1310" t="s">
        <v>3080</v>
      </c>
      <c r="E441" s="1310" t="s">
        <v>3042</v>
      </c>
      <c r="F441" s="1310" t="s">
        <v>1952</v>
      </c>
      <c r="G441" s="1323">
        <v>5</v>
      </c>
      <c r="H441" s="486" t="e">
        <f t="array" aca="1" ref="H441" ca="1">+_xludf.IFS(E441="100% Presencial",1, E441="20% Teletrabajo (4 días a la semana)",0.8,E441="40% Teletrabajo (3 días a la semana)",0.6,E441="60% Teletrabajo (2 días a la semana)",0.4,E441="80% Teletrabajo (1 día a la semana)",0.2,E441="100% Teletrabajo",0)</f>
        <v>#NAME?</v>
      </c>
      <c r="I441" s="486" t="e">
        <f t="array" aca="1" ref="I441" ca="1">+_xludf.IFS(F441="Vehículo - Uso individual","Auto",F441="Vehículo - Uso compartido","Auto",F441="Transporte público/bus de acercamiento","Bus",F441="Moto","Moto",F441="Bicicleta o caminando","Bicicleta",F441="Ninguno, pues realicé 100% teletrabajo","No aplica",F441="Moto eléctrica","Moto eléctrica",F441="Vehículo eléctrico - Uso Individual","Vehículo eléctrico",F441="Vehículo eléctrico - Uso Compartido","Vehículo eléctrico")</f>
        <v>#NAME?</v>
      </c>
      <c r="J441" s="486">
        <v>1</v>
      </c>
      <c r="K441" s="1324" t="e">
        <f t="shared" ca="1" si="3"/>
        <v>#NAME?</v>
      </c>
      <c r="L441" s="1325">
        <f ca="1">+IFERROR(VLOOKUP(I441,'Factores Emisión EDGE'!$K$267:$L$272,2,0),0)</f>
        <v>0</v>
      </c>
      <c r="M441" s="1325" t="e">
        <f t="shared" ca="1" si="4"/>
        <v>#NAME?</v>
      </c>
      <c r="N441" s="486" t="s">
        <v>3056</v>
      </c>
      <c r="O441" s="1312"/>
      <c r="P441" s="1312"/>
    </row>
    <row r="442" spans="1:16" ht="15.75" customHeight="1">
      <c r="A442" s="1314">
        <v>44939.379977037039</v>
      </c>
      <c r="B442" s="1310" t="s">
        <v>3681</v>
      </c>
      <c r="C442" s="1310" t="s">
        <v>3682</v>
      </c>
      <c r="D442" s="1310" t="s">
        <v>3140</v>
      </c>
      <c r="E442" s="1310" t="s">
        <v>3042</v>
      </c>
      <c r="F442" s="1310" t="s">
        <v>1952</v>
      </c>
      <c r="G442" s="1323">
        <v>5</v>
      </c>
      <c r="H442" s="486" t="e">
        <f t="array" aca="1" ref="H442" ca="1">+_xludf.IFS(E442="100% Presencial",1, E442="20% Teletrabajo (4 días a la semana)",0.8,E442="40% Teletrabajo (3 días a la semana)",0.6,E442="60% Teletrabajo (2 días a la semana)",0.4,E442="80% Teletrabajo (1 día a la semana)",0.2,E442="100% Teletrabajo",0)</f>
        <v>#NAME?</v>
      </c>
      <c r="I442" s="486" t="e">
        <f t="array" aca="1" ref="I442" ca="1">+_xludf.IFS(F442="Vehículo - Uso individual","Auto",F442="Vehículo - Uso compartido","Auto",F442="Transporte público/bus de acercamiento","Bus",F442="Moto","Moto",F442="Bicicleta o caminando","Bicicleta",F442="Ninguno, pues realicé 100% teletrabajo","No aplica",F442="Moto eléctrica","Moto eléctrica",F442="Vehículo eléctrico - Uso Individual","Vehículo eléctrico",F442="Vehículo eléctrico - Uso Compartido","Vehículo eléctrico")</f>
        <v>#NAME?</v>
      </c>
      <c r="J442" s="486">
        <v>1</v>
      </c>
      <c r="K442" s="1324" t="e">
        <f t="shared" ca="1" si="3"/>
        <v>#NAME?</v>
      </c>
      <c r="L442" s="1325">
        <f ca="1">+IFERROR(VLOOKUP(I442,'Factores Emisión EDGE'!$K$267:$L$272,2,0),0)</f>
        <v>0</v>
      </c>
      <c r="M442" s="1325" t="e">
        <f t="shared" ca="1" si="4"/>
        <v>#NAME?</v>
      </c>
      <c r="N442" s="486" t="s">
        <v>3043</v>
      </c>
      <c r="O442" s="1312"/>
      <c r="P442" s="1312"/>
    </row>
    <row r="443" spans="1:16" ht="15.75" customHeight="1">
      <c r="A443" s="1314">
        <v>44939.466635775461</v>
      </c>
      <c r="B443" s="1310" t="s">
        <v>3683</v>
      </c>
      <c r="C443" s="1310" t="s">
        <v>3684</v>
      </c>
      <c r="D443" s="1310" t="s">
        <v>3080</v>
      </c>
      <c r="E443" s="1310" t="s">
        <v>3042</v>
      </c>
      <c r="F443" s="1310" t="s">
        <v>1952</v>
      </c>
      <c r="G443" s="1323">
        <v>5</v>
      </c>
      <c r="H443" s="486" t="e">
        <f t="array" aca="1" ref="H443" ca="1">+_xludf.IFS(E443="100% Presencial",1, E443="20% Teletrabajo (4 días a la semana)",0.8,E443="40% Teletrabajo (3 días a la semana)",0.6,E443="60% Teletrabajo (2 días a la semana)",0.4,E443="80% Teletrabajo (1 día a la semana)",0.2,E443="100% Teletrabajo",0)</f>
        <v>#NAME?</v>
      </c>
      <c r="I443" s="486" t="e">
        <f t="array" aca="1" ref="I443" ca="1">+_xludf.IFS(F443="Vehículo - Uso individual","Auto",F443="Vehículo - Uso compartido","Auto",F443="Transporte público/bus de acercamiento","Bus",F443="Moto","Moto",F443="Bicicleta o caminando","Bicicleta",F443="Ninguno, pues realicé 100% teletrabajo","No aplica",F443="Moto eléctrica","Moto eléctrica",F443="Vehículo eléctrico - Uso Individual","Vehículo eléctrico",F443="Vehículo eléctrico - Uso Compartido","Vehículo eléctrico")</f>
        <v>#NAME?</v>
      </c>
      <c r="J443" s="486">
        <v>1</v>
      </c>
      <c r="K443" s="1324" t="e">
        <f t="shared" ca="1" si="3"/>
        <v>#NAME?</v>
      </c>
      <c r="L443" s="1325">
        <f ca="1">+IFERROR(VLOOKUP(I443,'Factores Emisión EDGE'!$K$267:$L$272,2,0),0)</f>
        <v>0</v>
      </c>
      <c r="M443" s="1325" t="e">
        <f t="shared" ca="1" si="4"/>
        <v>#NAME?</v>
      </c>
      <c r="N443" s="486" t="s">
        <v>3043</v>
      </c>
      <c r="O443" s="1312"/>
      <c r="P443" s="1312"/>
    </row>
    <row r="444" spans="1:16" ht="15.75" customHeight="1">
      <c r="A444" s="1314">
        <v>44931.444517615746</v>
      </c>
      <c r="B444" s="1310" t="s">
        <v>3685</v>
      </c>
      <c r="C444" s="1310" t="s">
        <v>2449</v>
      </c>
      <c r="D444" s="1310" t="s">
        <v>3083</v>
      </c>
      <c r="E444" s="1310" t="s">
        <v>3042</v>
      </c>
      <c r="F444" s="1310" t="s">
        <v>1952</v>
      </c>
      <c r="G444" s="1323">
        <v>4.7</v>
      </c>
      <c r="H444" s="486" t="e">
        <f t="array" aca="1" ref="H444" ca="1">+_xludf.IFS(E444="100% Presencial",1, E444="20% Teletrabajo (4 días a la semana)",0.8,E444="40% Teletrabajo (3 días a la semana)",0.6,E444="60% Teletrabajo (2 días a la semana)",0.4,E444="80% Teletrabajo (1 día a la semana)",0.2,E444="100% Teletrabajo",0)</f>
        <v>#NAME?</v>
      </c>
      <c r="I444" s="486" t="e">
        <f t="array" aca="1" ref="I444" ca="1">+_xludf.IFS(F444="Vehículo - Uso individual","Auto",F444="Vehículo - Uso compartido","Auto",F444="Transporte público/bus de acercamiento","Bus",F444="Moto","Moto",F444="Bicicleta o caminando","Bicicleta",F444="Ninguno, pues realicé 100% teletrabajo","No aplica",F444="Moto eléctrica","Moto eléctrica",F444="Vehículo eléctrico - Uso Individual","Vehículo eléctrico",F444="Vehículo eléctrico - Uso Compartido","Vehículo eléctrico")</f>
        <v>#NAME?</v>
      </c>
      <c r="J444" s="486">
        <v>1</v>
      </c>
      <c r="K444" s="1324" t="e">
        <f t="shared" ca="1" si="3"/>
        <v>#NAME?</v>
      </c>
      <c r="L444" s="1325">
        <f ca="1">+IFERROR(VLOOKUP(I444,'Factores Emisión EDGE'!$K$267:$L$272,2,0),0)</f>
        <v>0</v>
      </c>
      <c r="M444" s="1325" t="e">
        <f t="shared" ca="1" si="4"/>
        <v>#NAME?</v>
      </c>
      <c r="N444" s="486" t="s">
        <v>3043</v>
      </c>
      <c r="O444" s="1312"/>
      <c r="P444" s="1312"/>
    </row>
    <row r="445" spans="1:16" ht="15.75" customHeight="1">
      <c r="A445" s="1314">
        <v>44931.416545</v>
      </c>
      <c r="B445" s="1310" t="s">
        <v>3686</v>
      </c>
      <c r="C445" s="1310" t="s">
        <v>3687</v>
      </c>
      <c r="D445" s="1310" t="s">
        <v>3046</v>
      </c>
      <c r="E445" s="1310" t="s">
        <v>3042</v>
      </c>
      <c r="F445" s="1310" t="s">
        <v>1952</v>
      </c>
      <c r="G445" s="1323">
        <v>4.3</v>
      </c>
      <c r="H445" s="486" t="e">
        <f t="array" aca="1" ref="H445" ca="1">+_xludf.IFS(E445="100% Presencial",1, E445="20% Teletrabajo (4 días a la semana)",0.8,E445="40% Teletrabajo (3 días a la semana)",0.6,E445="60% Teletrabajo (2 días a la semana)",0.4,E445="80% Teletrabajo (1 día a la semana)",0.2,E445="100% Teletrabajo",0)</f>
        <v>#NAME?</v>
      </c>
      <c r="I445" s="486" t="e">
        <f t="array" aca="1" ref="I445" ca="1">+_xludf.IFS(F445="Vehículo - Uso individual","Auto",F445="Vehículo - Uso compartido","Auto",F445="Transporte público/bus de acercamiento","Bus",F445="Moto","Moto",F445="Bicicleta o caminando","Bicicleta",F445="Ninguno, pues realicé 100% teletrabajo","No aplica",F445="Moto eléctrica","Moto eléctrica",F445="Vehículo eléctrico - Uso Individual","Vehículo eléctrico",F445="Vehículo eléctrico - Uso Compartido","Vehículo eléctrico")</f>
        <v>#NAME?</v>
      </c>
      <c r="J445" s="486">
        <v>1</v>
      </c>
      <c r="K445" s="1324" t="e">
        <f t="shared" ca="1" si="3"/>
        <v>#NAME?</v>
      </c>
      <c r="L445" s="1325">
        <f ca="1">+IFERROR(VLOOKUP(I445,'Factores Emisión EDGE'!$K$267:$L$272,2,0),0)</f>
        <v>0</v>
      </c>
      <c r="M445" s="1325" t="e">
        <f t="shared" ca="1" si="4"/>
        <v>#NAME?</v>
      </c>
      <c r="N445" s="486" t="s">
        <v>3056</v>
      </c>
      <c r="O445" s="1312"/>
      <c r="P445" s="1312"/>
    </row>
    <row r="446" spans="1:16" ht="15.75" customHeight="1">
      <c r="A446" s="1314">
        <v>44939.555003368056</v>
      </c>
      <c r="B446" s="1310" t="s">
        <v>3688</v>
      </c>
      <c r="C446" s="1310" t="s">
        <v>3689</v>
      </c>
      <c r="D446" s="1310" t="s">
        <v>3080</v>
      </c>
      <c r="E446" s="1310" t="s">
        <v>3042</v>
      </c>
      <c r="F446" s="1310" t="s">
        <v>1952</v>
      </c>
      <c r="G446" s="1323">
        <v>4</v>
      </c>
      <c r="H446" s="486" t="e">
        <f t="array" aca="1" ref="H446" ca="1">+_xludf.IFS(E446="100% Presencial",1, E446="20% Teletrabajo (4 días a la semana)",0.8,E446="40% Teletrabajo (3 días a la semana)",0.6,E446="60% Teletrabajo (2 días a la semana)",0.4,E446="80% Teletrabajo (1 día a la semana)",0.2,E446="100% Teletrabajo",0)</f>
        <v>#NAME?</v>
      </c>
      <c r="I446" s="486" t="e">
        <f t="array" aca="1" ref="I446" ca="1">+_xludf.IFS(F446="Vehículo - Uso individual","Auto",F446="Vehículo - Uso compartido","Auto",F446="Transporte público/bus de acercamiento","Bus",F446="Moto","Moto",F446="Bicicleta o caminando","Bicicleta",F446="Ninguno, pues realicé 100% teletrabajo","No aplica",F446="Moto eléctrica","Moto eléctrica",F446="Vehículo eléctrico - Uso Individual","Vehículo eléctrico",F446="Vehículo eléctrico - Uso Compartido","Vehículo eléctrico")</f>
        <v>#NAME?</v>
      </c>
      <c r="J446" s="486">
        <v>1</v>
      </c>
      <c r="K446" s="1324" t="e">
        <f t="shared" ca="1" si="3"/>
        <v>#NAME?</v>
      </c>
      <c r="L446" s="1325">
        <f ca="1">+IFERROR(VLOOKUP(I446,'Factores Emisión EDGE'!$K$267:$L$272,2,0),0)</f>
        <v>0</v>
      </c>
      <c r="M446" s="1325" t="e">
        <f t="shared" ca="1" si="4"/>
        <v>#NAME?</v>
      </c>
      <c r="N446" s="486" t="s">
        <v>3043</v>
      </c>
      <c r="O446" s="1312"/>
      <c r="P446" s="1312"/>
    </row>
    <row r="447" spans="1:16" ht="15.75" customHeight="1">
      <c r="A447" s="1314">
        <v>44930.463126597228</v>
      </c>
      <c r="B447" s="1310" t="s">
        <v>3690</v>
      </c>
      <c r="C447" s="1310" t="s">
        <v>2377</v>
      </c>
      <c r="D447" s="1310" t="s">
        <v>3107</v>
      </c>
      <c r="E447" s="1310" t="s">
        <v>3042</v>
      </c>
      <c r="F447" s="1310" t="s">
        <v>1952</v>
      </c>
      <c r="G447" s="1323">
        <v>4</v>
      </c>
      <c r="H447" s="486" t="e">
        <f t="array" aca="1" ref="H447" ca="1">+_xludf.IFS(E447="100% Presencial",1, E447="20% Teletrabajo (4 días a la semana)",0.8,E447="40% Teletrabajo (3 días a la semana)",0.6,E447="60% Teletrabajo (2 días a la semana)",0.4,E447="80% Teletrabajo (1 día a la semana)",0.2,E447="100% Teletrabajo",0)</f>
        <v>#NAME?</v>
      </c>
      <c r="I447" s="486" t="e">
        <f t="array" aca="1" ref="I447" ca="1">+_xludf.IFS(F447="Vehículo - Uso individual","Auto",F447="Vehículo - Uso compartido","Auto",F447="Transporte público/bus de acercamiento","Bus",F447="Moto","Moto",F447="Bicicleta o caminando","Bicicleta",F447="Ninguno, pues realicé 100% teletrabajo","No aplica",F447="Moto eléctrica","Moto eléctrica",F447="Vehículo eléctrico - Uso Individual","Vehículo eléctrico",F447="Vehículo eléctrico - Uso Compartido","Vehículo eléctrico")</f>
        <v>#NAME?</v>
      </c>
      <c r="J447" s="486">
        <v>1</v>
      </c>
      <c r="K447" s="1324" t="e">
        <f t="shared" ca="1" si="3"/>
        <v>#NAME?</v>
      </c>
      <c r="L447" s="1325">
        <f ca="1">+IFERROR(VLOOKUP(I447,'Factores Emisión EDGE'!$K$267:$L$272,2,0),0)</f>
        <v>0</v>
      </c>
      <c r="M447" s="1325" t="e">
        <f t="shared" ca="1" si="4"/>
        <v>#NAME?</v>
      </c>
      <c r="N447" s="486" t="s">
        <v>3043</v>
      </c>
      <c r="O447" s="1312"/>
      <c r="P447" s="1312"/>
    </row>
    <row r="448" spans="1:16" ht="15.75" customHeight="1">
      <c r="A448" s="1314">
        <v>44929.491627071759</v>
      </c>
      <c r="B448" s="1310" t="s">
        <v>3691</v>
      </c>
      <c r="C448" s="1310" t="s">
        <v>3692</v>
      </c>
      <c r="D448" s="1310" t="s">
        <v>3048</v>
      </c>
      <c r="E448" s="1310" t="s">
        <v>3042</v>
      </c>
      <c r="F448" s="1310" t="s">
        <v>1995</v>
      </c>
      <c r="G448" s="1323">
        <v>4</v>
      </c>
      <c r="H448" s="486" t="e">
        <f t="array" aca="1" ref="H448" ca="1">+_xludf.IFS(E448="100% Presencial",1, E448="20% Teletrabajo (4 días a la semana)",0.8,E448="40% Teletrabajo (3 días a la semana)",0.6,E448="60% Teletrabajo (2 días a la semana)",0.4,E448="80% Teletrabajo (1 día a la semana)",0.2,E448="100% Teletrabajo",0)</f>
        <v>#NAME?</v>
      </c>
      <c r="I448" s="486" t="e">
        <f t="array" aca="1" ref="I448" ca="1">+_xludf.IFS(F448="Vehículo - Uso individual","Auto",F448="Vehículo - Uso compartido","Auto",F448="Transporte público/bus de acercamiento","Bus",F448="Moto","Moto",F448="Bicicleta o caminando","Bicicleta",F448="Ninguno, pues realicé 100% teletrabajo","No aplica",F448="Moto eléctrica","Moto eléctrica",F448="Vehículo eléctrico - Uso Individual","Vehículo eléctrico",F448="Vehículo eléctrico - Uso Compartido","Vehículo eléctrico")</f>
        <v>#NAME?</v>
      </c>
      <c r="J448" s="486">
        <v>0.25</v>
      </c>
      <c r="K448" s="1324" t="e">
        <f t="shared" ca="1" si="3"/>
        <v>#NAME?</v>
      </c>
      <c r="L448" s="1325">
        <f ca="1">+IFERROR(VLOOKUP(I448,'Factores Emisión EDGE'!$K$267:$L$272,2,0),0)</f>
        <v>0</v>
      </c>
      <c r="M448" s="1325" t="e">
        <f t="shared" ca="1" si="4"/>
        <v>#NAME?</v>
      </c>
      <c r="N448" s="486" t="s">
        <v>3043</v>
      </c>
      <c r="O448" s="1312"/>
      <c r="P448" s="1312"/>
    </row>
    <row r="449" spans="1:16" ht="15.75" customHeight="1">
      <c r="A449" s="1314">
        <v>44938.555657789351</v>
      </c>
      <c r="B449" s="1310" t="s">
        <v>3693</v>
      </c>
      <c r="C449" s="1310" t="s">
        <v>3694</v>
      </c>
      <c r="D449" s="1310" t="s">
        <v>3080</v>
      </c>
      <c r="E449" s="1310" t="s">
        <v>3042</v>
      </c>
      <c r="F449" s="1310" t="s">
        <v>3055</v>
      </c>
      <c r="G449" s="1323">
        <v>4</v>
      </c>
      <c r="H449" s="486" t="e">
        <f t="array" aca="1" ref="H449" ca="1">+_xludf.IFS(E449="100% Presencial",1, E449="20% Teletrabajo (4 días a la semana)",0.8,E449="40% Teletrabajo (3 días a la semana)",0.6,E449="60% Teletrabajo (2 días a la semana)",0.4,E449="80% Teletrabajo (1 día a la semana)",0.2,E449="100% Teletrabajo",0)</f>
        <v>#NAME?</v>
      </c>
      <c r="I449" s="486" t="e">
        <f t="array" aca="1" ref="I449" ca="1">+_xludf.IFS(F449="Vehículo - Uso individual","Auto",F449="Vehículo - Uso compartido","Auto",F449="Transporte público/bus de acercamiento","Bus",F449="Moto","Moto",F449="Bicicleta o caminando","Bicicleta",F449="Ninguno, pues realicé 100% teletrabajo","No aplica",F449="Moto eléctrica","Moto eléctrica",F449="Vehículo eléctrico - Uso Individual","Vehículo eléctrico",F449="Vehículo eléctrico - Uso Compartido","Vehículo eléctrico")</f>
        <v>#NAME?</v>
      </c>
      <c r="J449" s="486">
        <v>1</v>
      </c>
      <c r="K449" s="1324" t="e">
        <f t="shared" ca="1" si="3"/>
        <v>#NAME?</v>
      </c>
      <c r="L449" s="1325">
        <f ca="1">+IFERROR(VLOOKUP(I449,'Factores Emisión EDGE'!$K$267:$L$272,2,0),0)</f>
        <v>0</v>
      </c>
      <c r="M449" s="1325" t="e">
        <f t="shared" ca="1" si="4"/>
        <v>#NAME?</v>
      </c>
      <c r="N449" s="486" t="s">
        <v>3056</v>
      </c>
      <c r="O449" s="1312"/>
      <c r="P449" s="1312"/>
    </row>
    <row r="450" spans="1:16" ht="15.75" customHeight="1">
      <c r="A450" s="1314">
        <v>44938.645286296298</v>
      </c>
      <c r="B450" s="1310" t="s">
        <v>3695</v>
      </c>
      <c r="C450" s="1310" t="s">
        <v>3668</v>
      </c>
      <c r="D450" s="1310" t="s">
        <v>3048</v>
      </c>
      <c r="E450" s="1310" t="s">
        <v>3042</v>
      </c>
      <c r="F450" s="1310" t="s">
        <v>3055</v>
      </c>
      <c r="G450" s="1323">
        <v>4</v>
      </c>
      <c r="H450" s="486" t="e">
        <f t="array" aca="1" ref="H450" ca="1">+_xludf.IFS(E450="100% Presencial",1, E450="20% Teletrabajo (4 días a la semana)",0.8,E450="40% Teletrabajo (3 días a la semana)",0.6,E450="60% Teletrabajo (2 días a la semana)",0.4,E450="80% Teletrabajo (1 día a la semana)",0.2,E450="100% Teletrabajo",0)</f>
        <v>#NAME?</v>
      </c>
      <c r="I450" s="486" t="e">
        <f t="array" aca="1" ref="I450" ca="1">+_xludf.IFS(F450="Vehículo - Uso individual","Auto",F450="Vehículo - Uso compartido","Auto",F450="Transporte público/bus de acercamiento","Bus",F450="Moto","Moto",F450="Bicicleta o caminando","Bicicleta",F450="Ninguno, pues realicé 100% teletrabajo","No aplica",F450="Moto eléctrica","Moto eléctrica",F450="Vehículo eléctrico - Uso Individual","Vehículo eléctrico",F450="Vehículo eléctrico - Uso Compartido","Vehículo eléctrico")</f>
        <v>#NAME?</v>
      </c>
      <c r="J450" s="486">
        <v>1</v>
      </c>
      <c r="K450" s="1324" t="e">
        <f t="shared" ca="1" si="3"/>
        <v>#NAME?</v>
      </c>
      <c r="L450" s="1325">
        <f ca="1">+IFERROR(VLOOKUP(I450,'Factores Emisión EDGE'!$K$267:$L$272,2,0),0)</f>
        <v>0</v>
      </c>
      <c r="M450" s="1325" t="e">
        <f t="shared" ca="1" si="4"/>
        <v>#NAME?</v>
      </c>
      <c r="N450" s="486" t="s">
        <v>3056</v>
      </c>
      <c r="O450" s="1312"/>
      <c r="P450" s="1312"/>
    </row>
    <row r="451" spans="1:16" ht="15.75" customHeight="1">
      <c r="A451" s="1314">
        <v>44938.700460891203</v>
      </c>
      <c r="B451" s="1310" t="s">
        <v>3696</v>
      </c>
      <c r="C451" s="1310" t="s">
        <v>3697</v>
      </c>
      <c r="D451" s="1310" t="s">
        <v>3054</v>
      </c>
      <c r="E451" s="1310" t="s">
        <v>3042</v>
      </c>
      <c r="F451" s="1310" t="s">
        <v>1983</v>
      </c>
      <c r="G451" s="1323">
        <v>4</v>
      </c>
      <c r="H451" s="486" t="e">
        <f t="array" aca="1" ref="H451" ca="1">+_xludf.IFS(E451="100% Presencial",1, E451="20% Teletrabajo (4 días a la semana)",0.8,E451="40% Teletrabajo (3 días a la semana)",0.6,E451="60% Teletrabajo (2 días a la semana)",0.4,E451="80% Teletrabajo (1 día a la semana)",0.2,E451="100% Teletrabajo",0)</f>
        <v>#NAME?</v>
      </c>
      <c r="I451" s="486" t="e">
        <f t="array" aca="1" ref="I451" ca="1">+_xludf.IFS(F451="Vehículo - Uso individual","Auto",F451="Vehículo - Uso compartido","Auto",F451="Transporte público/bus de acercamiento","Bus",F451="Moto","Moto",F451="Bicicleta o caminando","Bicicleta",F451="Ninguno, pues realicé 100% teletrabajo","No aplica",F451="Moto eléctrica","Moto eléctrica",F451="Vehículo eléctrico - Uso Individual","Vehículo eléctrico",F451="Vehículo eléctrico - Uso Compartido","Vehículo eléctrico")</f>
        <v>#NAME?</v>
      </c>
      <c r="J451" s="486">
        <v>1</v>
      </c>
      <c r="K451" s="1324" t="e">
        <f t="shared" ca="1" si="3"/>
        <v>#NAME?</v>
      </c>
      <c r="L451" s="1325">
        <f ca="1">+IFERROR(VLOOKUP(I451,'Factores Emisión EDGE'!$K$267:$L$272,2,0),0)</f>
        <v>0</v>
      </c>
      <c r="M451" s="1325" t="e">
        <f t="shared" ca="1" si="4"/>
        <v>#NAME?</v>
      </c>
      <c r="N451" s="486" t="s">
        <v>3056</v>
      </c>
      <c r="O451" s="1312"/>
      <c r="P451" s="1312"/>
    </row>
    <row r="452" spans="1:16" ht="15.75" customHeight="1">
      <c r="A452" s="1314">
        <v>44929.503330925931</v>
      </c>
      <c r="B452" s="1310" t="s">
        <v>2158</v>
      </c>
      <c r="C452" s="1310" t="s">
        <v>2159</v>
      </c>
      <c r="D452" s="1310" t="s">
        <v>3080</v>
      </c>
      <c r="E452" s="1310" t="s">
        <v>3042</v>
      </c>
      <c r="F452" s="1310" t="s">
        <v>3055</v>
      </c>
      <c r="G452" s="1323">
        <v>4</v>
      </c>
      <c r="H452" s="486" t="e">
        <f t="array" aca="1" ref="H452" ca="1">+_xludf.IFS(E452="100% Presencial",1, E452="20% Teletrabajo (4 días a la semana)",0.8,E452="40% Teletrabajo (3 días a la semana)",0.6,E452="60% Teletrabajo (2 días a la semana)",0.4,E452="80% Teletrabajo (1 día a la semana)",0.2,E452="100% Teletrabajo",0)</f>
        <v>#NAME?</v>
      </c>
      <c r="I452" s="486" t="e">
        <f t="array" aca="1" ref="I452" ca="1">+_xludf.IFS(F452="Vehículo - Uso individual","Auto",F452="Vehículo - Uso compartido","Auto",F452="Transporte público/bus de acercamiento","Bus",F452="Moto","Moto",F452="Bicicleta o caminando","Bicicleta",F452="Ninguno, pues realicé 100% teletrabajo","No aplica",F452="Moto eléctrica","Moto eléctrica",F452="Vehículo eléctrico - Uso Individual","Vehículo eléctrico",F452="Vehículo eléctrico - Uso Compartido","Vehículo eléctrico")</f>
        <v>#NAME?</v>
      </c>
      <c r="J452" s="486">
        <v>1</v>
      </c>
      <c r="K452" s="1324" t="e">
        <f t="shared" ca="1" si="3"/>
        <v>#NAME?</v>
      </c>
      <c r="L452" s="1325">
        <f ca="1">+IFERROR(VLOOKUP(I452,'Factores Emisión EDGE'!$K$267:$L$272,2,0),0)</f>
        <v>0</v>
      </c>
      <c r="M452" s="1325" t="e">
        <f t="shared" ca="1" si="4"/>
        <v>#NAME?</v>
      </c>
      <c r="N452" s="486" t="s">
        <v>3043</v>
      </c>
      <c r="O452" s="1312"/>
      <c r="P452" s="1312"/>
    </row>
    <row r="453" spans="1:16" ht="15.75" customHeight="1">
      <c r="A453" s="1314">
        <v>44930.460290682866</v>
      </c>
      <c r="B453" s="1310" t="s">
        <v>3698</v>
      </c>
      <c r="C453" s="1310" t="s">
        <v>3699</v>
      </c>
      <c r="D453" s="1310" t="s">
        <v>3083</v>
      </c>
      <c r="E453" s="1310" t="s">
        <v>3042</v>
      </c>
      <c r="F453" s="1310" t="s">
        <v>3055</v>
      </c>
      <c r="G453" s="1323">
        <v>4</v>
      </c>
      <c r="H453" s="486" t="e">
        <f t="array" aca="1" ref="H453" ca="1">+_xludf.IFS(E453="100% Presencial",1, E453="20% Teletrabajo (4 días a la semana)",0.8,E453="40% Teletrabajo (3 días a la semana)",0.6,E453="60% Teletrabajo (2 días a la semana)",0.4,E453="80% Teletrabajo (1 día a la semana)",0.2,E453="100% Teletrabajo",0)</f>
        <v>#NAME?</v>
      </c>
      <c r="I453" s="486" t="e">
        <f t="array" aca="1" ref="I453" ca="1">+_xludf.IFS(F453="Vehículo - Uso individual","Auto",F453="Vehículo - Uso compartido","Auto",F453="Transporte público/bus de acercamiento","Bus",F453="Moto","Moto",F453="Bicicleta o caminando","Bicicleta",F453="Ninguno, pues realicé 100% teletrabajo","No aplica",F453="Moto eléctrica","Moto eléctrica",F453="Vehículo eléctrico - Uso Individual","Vehículo eléctrico",F453="Vehículo eléctrico - Uso Compartido","Vehículo eléctrico")</f>
        <v>#NAME?</v>
      </c>
      <c r="J453" s="486">
        <v>1</v>
      </c>
      <c r="K453" s="1324" t="e">
        <f t="shared" ca="1" si="3"/>
        <v>#NAME?</v>
      </c>
      <c r="L453" s="1325">
        <f ca="1">+IFERROR(VLOOKUP(I453,'Factores Emisión EDGE'!$K$267:$L$272,2,0),0)</f>
        <v>0</v>
      </c>
      <c r="M453" s="1325" t="e">
        <f t="shared" ca="1" si="4"/>
        <v>#NAME?</v>
      </c>
      <c r="N453" s="486" t="s">
        <v>3056</v>
      </c>
      <c r="O453" s="1312"/>
      <c r="P453" s="1312"/>
    </row>
    <row r="454" spans="1:16" ht="15.75" customHeight="1">
      <c r="A454" s="1314">
        <v>44930.511816539351</v>
      </c>
      <c r="B454" s="1310" t="s">
        <v>3700</v>
      </c>
      <c r="C454" s="1310" t="s">
        <v>3701</v>
      </c>
      <c r="D454" s="1310" t="s">
        <v>3060</v>
      </c>
      <c r="E454" s="1310" t="s">
        <v>3042</v>
      </c>
      <c r="F454" s="1310" t="s">
        <v>1995</v>
      </c>
      <c r="G454" s="1323">
        <v>4</v>
      </c>
      <c r="H454" s="486" t="e">
        <f t="array" aca="1" ref="H454" ca="1">+_xludf.IFS(E454="100% Presencial",1, E454="20% Teletrabajo (4 días a la semana)",0.8,E454="40% Teletrabajo (3 días a la semana)",0.6,E454="60% Teletrabajo (2 días a la semana)",0.4,E454="80% Teletrabajo (1 día a la semana)",0.2,E454="100% Teletrabajo",0)</f>
        <v>#NAME?</v>
      </c>
      <c r="I454" s="486" t="e">
        <f t="array" aca="1" ref="I454" ca="1">+_xludf.IFS(F454="Vehículo - Uso individual","Auto",F454="Vehículo - Uso compartido","Auto",F454="Transporte público/bus de acercamiento","Bus",F454="Moto","Moto",F454="Bicicleta o caminando","Bicicleta",F454="Ninguno, pues realicé 100% teletrabajo","No aplica",F454="Moto eléctrica","Moto eléctrica",F454="Vehículo eléctrico - Uso Individual","Vehículo eléctrico",F454="Vehículo eléctrico - Uso Compartido","Vehículo eléctrico")</f>
        <v>#NAME?</v>
      </c>
      <c r="J454" s="486">
        <v>0.25</v>
      </c>
      <c r="K454" s="1324" t="e">
        <f t="shared" ca="1" si="3"/>
        <v>#NAME?</v>
      </c>
      <c r="L454" s="1325">
        <f ca="1">+IFERROR(VLOOKUP(I454,'Factores Emisión EDGE'!$K$267:$L$272,2,0),0)</f>
        <v>0</v>
      </c>
      <c r="M454" s="1325" t="e">
        <f t="shared" ca="1" si="4"/>
        <v>#NAME?</v>
      </c>
      <c r="N454" s="486" t="s">
        <v>3056</v>
      </c>
      <c r="O454" s="1312"/>
      <c r="P454" s="1312"/>
    </row>
    <row r="455" spans="1:16" ht="15.75" customHeight="1">
      <c r="A455" s="1314">
        <v>44930.565568344908</v>
      </c>
      <c r="B455" s="1310" t="s">
        <v>3702</v>
      </c>
      <c r="C455" s="1310" t="s">
        <v>2903</v>
      </c>
      <c r="D455" s="1310" t="s">
        <v>3107</v>
      </c>
      <c r="E455" s="1310" t="s">
        <v>3042</v>
      </c>
      <c r="F455" s="1310" t="s">
        <v>1995</v>
      </c>
      <c r="G455" s="1323">
        <v>4</v>
      </c>
      <c r="H455" s="486" t="e">
        <f t="array" aca="1" ref="H455" ca="1">+_xludf.IFS(E455="100% Presencial",1, E455="20% Teletrabajo (4 días a la semana)",0.8,E455="40% Teletrabajo (3 días a la semana)",0.6,E455="60% Teletrabajo (2 días a la semana)",0.4,E455="80% Teletrabajo (1 día a la semana)",0.2,E455="100% Teletrabajo",0)</f>
        <v>#NAME?</v>
      </c>
      <c r="I455" s="486" t="e">
        <f t="array" aca="1" ref="I455" ca="1">+_xludf.IFS(F455="Vehículo - Uso individual","Auto",F455="Vehículo - Uso compartido","Auto",F455="Transporte público/bus de acercamiento","Bus",F455="Moto","Moto",F455="Bicicleta o caminando","Bicicleta",F455="Ninguno, pues realicé 100% teletrabajo","No aplica",F455="Moto eléctrica","Moto eléctrica",F455="Vehículo eléctrico - Uso Individual","Vehículo eléctrico",F455="Vehículo eléctrico - Uso Compartido","Vehículo eléctrico")</f>
        <v>#NAME?</v>
      </c>
      <c r="J455" s="486">
        <v>0.25</v>
      </c>
      <c r="K455" s="1324" t="e">
        <f t="shared" ca="1" si="3"/>
        <v>#NAME?</v>
      </c>
      <c r="L455" s="1325">
        <f ca="1">+IFERROR(VLOOKUP(I455,'Factores Emisión EDGE'!$K$267:$L$272,2,0),0)</f>
        <v>0</v>
      </c>
      <c r="M455" s="1325" t="e">
        <f t="shared" ca="1" si="4"/>
        <v>#NAME?</v>
      </c>
      <c r="N455" s="486" t="s">
        <v>3056</v>
      </c>
      <c r="O455" s="1312"/>
      <c r="P455" s="1312"/>
    </row>
    <row r="456" spans="1:16" ht="15.75" customHeight="1">
      <c r="A456" s="1314">
        <v>44932.644664687497</v>
      </c>
      <c r="B456" s="1310" t="s">
        <v>3703</v>
      </c>
      <c r="C456" s="1310" t="s">
        <v>3704</v>
      </c>
      <c r="D456" s="1310" t="s">
        <v>3048</v>
      </c>
      <c r="E456" s="1310" t="s">
        <v>3066</v>
      </c>
      <c r="F456" s="1310" t="s">
        <v>1995</v>
      </c>
      <c r="G456" s="1323">
        <v>4</v>
      </c>
      <c r="H456" s="486" t="e">
        <f t="array" aca="1" ref="H456" ca="1">+_xludf.IFS(E456="100% Presencial",1, E456="20% Teletrabajo (4 días a la semana)",0.8,E456="40% Teletrabajo (3 días a la semana)",0.6,E456="60% Teletrabajo (2 días a la semana)",0.4,E456="80% Teletrabajo (1 día a la semana)",0.2,E456="100% Teletrabajo",0)</f>
        <v>#NAME?</v>
      </c>
      <c r="I456" s="486" t="e">
        <f t="array" aca="1" ref="I456" ca="1">+_xludf.IFS(F456="Vehículo - Uso individual","Auto",F456="Vehículo - Uso compartido","Auto",F456="Transporte público/bus de acercamiento","Bus",F456="Moto","Moto",F456="Bicicleta o caminando","Bicicleta",F456="Ninguno, pues realicé 100% teletrabajo","No aplica",F456="Moto eléctrica","Moto eléctrica",F456="Vehículo eléctrico - Uso Individual","Vehículo eléctrico",F456="Vehículo eléctrico - Uso Compartido","Vehículo eléctrico")</f>
        <v>#NAME?</v>
      </c>
      <c r="J456" s="486">
        <v>0.25</v>
      </c>
      <c r="K456" s="1324" t="e">
        <f t="shared" ca="1" si="3"/>
        <v>#NAME?</v>
      </c>
      <c r="L456" s="1325">
        <f ca="1">+IFERROR(VLOOKUP(I456,'Factores Emisión EDGE'!$K$267:$L$272,2,0),0)</f>
        <v>0</v>
      </c>
      <c r="M456" s="1325" t="e">
        <f t="shared" ca="1" si="4"/>
        <v>#NAME?</v>
      </c>
      <c r="N456" s="486" t="s">
        <v>3043</v>
      </c>
      <c r="O456" s="1312"/>
      <c r="P456" s="1312"/>
    </row>
    <row r="457" spans="1:16" ht="15.75" customHeight="1">
      <c r="A457" s="1314">
        <v>44938.546324768518</v>
      </c>
      <c r="B457" s="1310" t="s">
        <v>3705</v>
      </c>
      <c r="C457" s="1310" t="s">
        <v>3706</v>
      </c>
      <c r="D457" s="1310" t="s">
        <v>3048</v>
      </c>
      <c r="E457" s="1310" t="s">
        <v>3042</v>
      </c>
      <c r="F457" s="1310" t="s">
        <v>3055</v>
      </c>
      <c r="G457" s="1323">
        <v>4</v>
      </c>
      <c r="H457" s="486" t="e">
        <f t="array" aca="1" ref="H457" ca="1">+_xludf.IFS(E457="100% Presencial",1, E457="20% Teletrabajo (4 días a la semana)",0.8,E457="40% Teletrabajo (3 días a la semana)",0.6,E457="60% Teletrabajo (2 días a la semana)",0.4,E457="80% Teletrabajo (1 día a la semana)",0.2,E457="100% Teletrabajo",0)</f>
        <v>#NAME?</v>
      </c>
      <c r="I457" s="486" t="e">
        <f t="array" aca="1" ref="I457" ca="1">+_xludf.IFS(F457="Vehículo - Uso individual","Auto",F457="Vehículo - Uso compartido","Auto",F457="Transporte público/bus de acercamiento","Bus",F457="Moto","Moto",F457="Bicicleta o caminando","Bicicleta",F457="Ninguno, pues realicé 100% teletrabajo","No aplica",F457="Moto eléctrica","Moto eléctrica",F457="Vehículo eléctrico - Uso Individual","Vehículo eléctrico",F457="Vehículo eléctrico - Uso Compartido","Vehículo eléctrico")</f>
        <v>#NAME?</v>
      </c>
      <c r="J457" s="486">
        <v>1</v>
      </c>
      <c r="K457" s="1324" t="e">
        <f t="shared" ca="1" si="3"/>
        <v>#NAME?</v>
      </c>
      <c r="L457" s="1325">
        <f ca="1">+IFERROR(VLOOKUP(I457,'Factores Emisión EDGE'!$K$267:$L$272,2,0),0)</f>
        <v>0</v>
      </c>
      <c r="M457" s="1325" t="e">
        <f t="shared" ca="1" si="4"/>
        <v>#NAME?</v>
      </c>
      <c r="N457" s="486" t="s">
        <v>3056</v>
      </c>
      <c r="O457" s="1312"/>
      <c r="P457" s="1312"/>
    </row>
    <row r="458" spans="1:16" ht="15.75" customHeight="1">
      <c r="A458" s="1314">
        <v>44938.547134502311</v>
      </c>
      <c r="B458" s="1310" t="s">
        <v>3707</v>
      </c>
      <c r="C458" s="1310" t="s">
        <v>3708</v>
      </c>
      <c r="D458" s="1310" t="s">
        <v>3048</v>
      </c>
      <c r="E458" s="1310" t="s">
        <v>3042</v>
      </c>
      <c r="F458" s="1310" t="s">
        <v>3055</v>
      </c>
      <c r="G458" s="1323">
        <v>4</v>
      </c>
      <c r="H458" s="486" t="e">
        <f t="array" aca="1" ref="H458" ca="1">+_xludf.IFS(E458="100% Presencial",1, E458="20% Teletrabajo (4 días a la semana)",0.8,E458="40% Teletrabajo (3 días a la semana)",0.6,E458="60% Teletrabajo (2 días a la semana)",0.4,E458="80% Teletrabajo (1 día a la semana)",0.2,E458="100% Teletrabajo",0)</f>
        <v>#NAME?</v>
      </c>
      <c r="I458" s="486" t="e">
        <f t="array" aca="1" ref="I458" ca="1">+_xludf.IFS(F458="Vehículo - Uso individual","Auto",F458="Vehículo - Uso compartido","Auto",F458="Transporte público/bus de acercamiento","Bus",F458="Moto","Moto",F458="Bicicleta o caminando","Bicicleta",F458="Ninguno, pues realicé 100% teletrabajo","No aplica",F458="Moto eléctrica","Moto eléctrica",F458="Vehículo eléctrico - Uso Individual","Vehículo eléctrico",F458="Vehículo eléctrico - Uso Compartido","Vehículo eléctrico")</f>
        <v>#NAME?</v>
      </c>
      <c r="J458" s="486">
        <v>1</v>
      </c>
      <c r="K458" s="1324" t="e">
        <f t="shared" ca="1" si="3"/>
        <v>#NAME?</v>
      </c>
      <c r="L458" s="1325">
        <f ca="1">+IFERROR(VLOOKUP(I458,'Factores Emisión EDGE'!$K$267:$L$272,2,0),0)</f>
        <v>0</v>
      </c>
      <c r="M458" s="1325" t="e">
        <f t="shared" ca="1" si="4"/>
        <v>#NAME?</v>
      </c>
      <c r="N458" s="486" t="s">
        <v>3056</v>
      </c>
      <c r="O458" s="1312"/>
      <c r="P458" s="1312"/>
    </row>
    <row r="459" spans="1:16" ht="15.75" customHeight="1">
      <c r="A459" s="1314">
        <v>44938.607419988424</v>
      </c>
      <c r="B459" s="1310" t="s">
        <v>3709</v>
      </c>
      <c r="C459" s="1310" t="s">
        <v>2500</v>
      </c>
      <c r="D459" s="1310" t="s">
        <v>3292</v>
      </c>
      <c r="E459" s="1310" t="s">
        <v>3042</v>
      </c>
      <c r="F459" s="1310" t="s">
        <v>1995</v>
      </c>
      <c r="G459" s="1323">
        <v>4</v>
      </c>
      <c r="H459" s="486" t="e">
        <f t="array" aca="1" ref="H459" ca="1">+_xludf.IFS(E459="100% Presencial",1, E459="20% Teletrabajo (4 días a la semana)",0.8,E459="40% Teletrabajo (3 días a la semana)",0.6,E459="60% Teletrabajo (2 días a la semana)",0.4,E459="80% Teletrabajo (1 día a la semana)",0.2,E459="100% Teletrabajo",0)</f>
        <v>#NAME?</v>
      </c>
      <c r="I459" s="486" t="e">
        <f t="array" aca="1" ref="I459" ca="1">+_xludf.IFS(F459="Vehículo - Uso individual","Auto",F459="Vehículo - Uso compartido","Auto",F459="Transporte público/bus de acercamiento","Bus",F459="Moto","Moto",F459="Bicicleta o caminando","Bicicleta",F459="Ninguno, pues realicé 100% teletrabajo","No aplica",F459="Moto eléctrica","Moto eléctrica",F459="Vehículo eléctrico - Uso Individual","Vehículo eléctrico",F459="Vehículo eléctrico - Uso Compartido","Vehículo eléctrico")</f>
        <v>#NAME?</v>
      </c>
      <c r="J459" s="486">
        <v>0.25</v>
      </c>
      <c r="K459" s="1324" t="e">
        <f t="shared" ca="1" si="3"/>
        <v>#NAME?</v>
      </c>
      <c r="L459" s="1325">
        <f ca="1">+IFERROR(VLOOKUP(I459,'Factores Emisión EDGE'!$K$267:$L$272,2,0),0)</f>
        <v>0</v>
      </c>
      <c r="M459" s="1325" t="e">
        <f t="shared" ca="1" si="4"/>
        <v>#NAME?</v>
      </c>
      <c r="N459" s="486" t="s">
        <v>3056</v>
      </c>
      <c r="O459" s="1312"/>
      <c r="P459" s="1312"/>
    </row>
    <row r="460" spans="1:16" ht="15.75" customHeight="1">
      <c r="A460" s="1314">
        <v>44939.426009606483</v>
      </c>
      <c r="B460" s="1310" t="s">
        <v>2058</v>
      </c>
      <c r="C460" s="1310" t="s">
        <v>2059</v>
      </c>
      <c r="D460" s="1310" t="s">
        <v>3048</v>
      </c>
      <c r="E460" s="1310" t="s">
        <v>3066</v>
      </c>
      <c r="F460" s="1310" t="s">
        <v>3055</v>
      </c>
      <c r="G460" s="1323">
        <v>4</v>
      </c>
      <c r="H460" s="486" t="e">
        <f t="array" aca="1" ref="H460" ca="1">+_xludf.IFS(E460="100% Presencial",1, E460="20% Teletrabajo (4 días a la semana)",0.8,E460="40% Teletrabajo (3 días a la semana)",0.6,E460="60% Teletrabajo (2 días a la semana)",0.4,E460="80% Teletrabajo (1 día a la semana)",0.2,E460="100% Teletrabajo",0)</f>
        <v>#NAME?</v>
      </c>
      <c r="I460" s="486" t="e">
        <f t="array" aca="1" ref="I460" ca="1">+_xludf.IFS(F460="Vehículo - Uso individual","Auto",F460="Vehículo - Uso compartido","Auto",F460="Transporte público/bus de acercamiento","Bus",F460="Moto","Moto",F460="Bicicleta o caminando","Bicicleta",F460="Ninguno, pues realicé 100% teletrabajo","No aplica",F460="Moto eléctrica","Moto eléctrica",F460="Vehículo eléctrico - Uso Individual","Vehículo eléctrico",F460="Vehículo eléctrico - Uso Compartido","Vehículo eléctrico")</f>
        <v>#NAME?</v>
      </c>
      <c r="J460" s="486">
        <v>1</v>
      </c>
      <c r="K460" s="1324" t="e">
        <f t="shared" ca="1" si="3"/>
        <v>#NAME?</v>
      </c>
      <c r="L460" s="1325">
        <f ca="1">+IFERROR(VLOOKUP(I460,'Factores Emisión EDGE'!$K$267:$L$272,2,0),0)</f>
        <v>0</v>
      </c>
      <c r="M460" s="1325" t="e">
        <f t="shared" ca="1" si="4"/>
        <v>#NAME?</v>
      </c>
      <c r="N460" s="486" t="s">
        <v>3043</v>
      </c>
      <c r="O460" s="1312"/>
      <c r="P460" s="1312"/>
    </row>
    <row r="461" spans="1:16" ht="15.75" customHeight="1">
      <c r="A461" s="1314">
        <v>44929.52750862269</v>
      </c>
      <c r="B461" s="1310" t="s">
        <v>3710</v>
      </c>
      <c r="C461" s="1310" t="s">
        <v>3711</v>
      </c>
      <c r="D461" s="1310" t="s">
        <v>3048</v>
      </c>
      <c r="E461" s="1310" t="s">
        <v>3049</v>
      </c>
      <c r="F461" s="1310" t="s">
        <v>3050</v>
      </c>
      <c r="G461" s="1326">
        <v>10</v>
      </c>
      <c r="H461" s="486" t="e">
        <f t="array" aca="1" ref="H461" ca="1">+_xludf.IFS(E461="100% Presencial",1, E461="20% Teletrabajo (4 días a la semana)",0.8,E461="40% Teletrabajo (3 días a la semana)",0.6,E461="60% Teletrabajo (2 días a la semana)",0.4,E461="80% Teletrabajo (1 día a la semana)",0.2,E461="100% Teletrabajo",0)</f>
        <v>#NAME?</v>
      </c>
      <c r="I461" s="486" t="e">
        <f t="array" aca="1" ref="I461" ca="1">+_xludf.IFS(F461="Vehículo - Uso individual","Auto",F461="Vehículo - Uso compartido","Auto",F461="Transporte público/bus de acercamiento","Bus",F461="Moto","Moto",F461="Bicicleta o caminando","Bicicleta",F461="Ninguno, pues realicé 100% teletrabajo","No aplica",F461="Moto eléctrica","Moto eléctrica",F461="Vehículo eléctrico - Uso Individual","Vehículo eléctrico",F461="Vehículo eléctrico - Uso Compartido","Vehículo eléctrico")</f>
        <v>#NAME?</v>
      </c>
      <c r="J461" s="486">
        <v>1</v>
      </c>
      <c r="K461" s="1324" t="e">
        <f t="shared" ca="1" si="3"/>
        <v>#NAME?</v>
      </c>
      <c r="L461" s="1325">
        <f ca="1">+IFERROR(VLOOKUP(I461,'Factores Emisión EDGE'!$K$267:$L$272,2,0),0)</f>
        <v>0</v>
      </c>
      <c r="M461" s="1325" t="e">
        <f t="shared" ca="1" si="4"/>
        <v>#NAME?</v>
      </c>
      <c r="N461" s="486" t="s">
        <v>3043</v>
      </c>
      <c r="O461" s="1312"/>
      <c r="P461" s="1312"/>
    </row>
    <row r="462" spans="1:16" ht="15.75" customHeight="1">
      <c r="A462" s="1314">
        <v>44940.558269351852</v>
      </c>
      <c r="B462" s="1310" t="s">
        <v>3712</v>
      </c>
      <c r="C462" s="1310" t="s">
        <v>3713</v>
      </c>
      <c r="D462" s="1310" t="s">
        <v>3292</v>
      </c>
      <c r="E462" s="1310" t="s">
        <v>3042</v>
      </c>
      <c r="F462" s="1310" t="s">
        <v>1952</v>
      </c>
      <c r="G462" s="1323">
        <v>4</v>
      </c>
      <c r="H462" s="486" t="e">
        <f t="array" aca="1" ref="H462" ca="1">+_xludf.IFS(E462="100% Presencial",1, E462="20% Teletrabajo (4 días a la semana)",0.8,E462="40% Teletrabajo (3 días a la semana)",0.6,E462="60% Teletrabajo (2 días a la semana)",0.4,E462="80% Teletrabajo (1 día a la semana)",0.2,E462="100% Teletrabajo",0)</f>
        <v>#NAME?</v>
      </c>
      <c r="I462" s="486" t="e">
        <f t="array" aca="1" ref="I462" ca="1">+_xludf.IFS(F462="Vehículo - Uso individual","Auto",F462="Vehículo - Uso compartido","Auto",F462="Transporte público/bus de acercamiento","Bus",F462="Moto","Moto",F462="Bicicleta o caminando","Bicicleta",F462="Ninguno, pues realicé 100% teletrabajo","No aplica",F462="Moto eléctrica","Moto eléctrica",F462="Vehículo eléctrico - Uso Individual","Vehículo eléctrico",F462="Vehículo eléctrico - Uso Compartido","Vehículo eléctrico")</f>
        <v>#NAME?</v>
      </c>
      <c r="J462" s="486">
        <v>1</v>
      </c>
      <c r="K462" s="1324" t="e">
        <f t="shared" ca="1" si="3"/>
        <v>#NAME?</v>
      </c>
      <c r="L462" s="1325">
        <f ca="1">+IFERROR(VLOOKUP(I462,'Factores Emisión EDGE'!$K$267:$L$272,2,0),0)</f>
        <v>0</v>
      </c>
      <c r="M462" s="1325" t="e">
        <f t="shared" ca="1" si="4"/>
        <v>#NAME?</v>
      </c>
      <c r="N462" s="486" t="s">
        <v>3056</v>
      </c>
      <c r="O462" s="1312"/>
      <c r="P462" s="1312"/>
    </row>
    <row r="463" spans="1:16" ht="15.75" customHeight="1">
      <c r="A463" s="1314">
        <v>44939.69213541667</v>
      </c>
      <c r="B463" s="1310" t="s">
        <v>3714</v>
      </c>
      <c r="C463" s="1310" t="s">
        <v>2792</v>
      </c>
      <c r="D463" s="1310" t="s">
        <v>3242</v>
      </c>
      <c r="E463" s="1310" t="s">
        <v>3042</v>
      </c>
      <c r="F463" s="1310" t="s">
        <v>1952</v>
      </c>
      <c r="G463" s="1323">
        <v>3.7</v>
      </c>
      <c r="H463" s="486" t="e">
        <f t="array" aca="1" ref="H463" ca="1">+_xludf.IFS(E463="100% Presencial",1, E463="20% Teletrabajo (4 días a la semana)",0.8,E463="40% Teletrabajo (3 días a la semana)",0.6,E463="60% Teletrabajo (2 días a la semana)",0.4,E463="80% Teletrabajo (1 día a la semana)",0.2,E463="100% Teletrabajo",0)</f>
        <v>#NAME?</v>
      </c>
      <c r="I463" s="486" t="e">
        <f t="array" aca="1" ref="I463" ca="1">+_xludf.IFS(F463="Vehículo - Uso individual","Auto",F463="Vehículo - Uso compartido","Auto",F463="Transporte público/bus de acercamiento","Bus",F463="Moto","Moto",F463="Bicicleta o caminando","Bicicleta",F463="Ninguno, pues realicé 100% teletrabajo","No aplica",F463="Moto eléctrica","Moto eléctrica",F463="Vehículo eléctrico - Uso Individual","Vehículo eléctrico",F463="Vehículo eléctrico - Uso Compartido","Vehículo eléctrico")</f>
        <v>#NAME?</v>
      </c>
      <c r="J463" s="486">
        <v>1</v>
      </c>
      <c r="K463" s="1324" t="e">
        <f t="shared" ca="1" si="3"/>
        <v>#NAME?</v>
      </c>
      <c r="L463" s="1325">
        <f ca="1">+IFERROR(VLOOKUP(I463,'Factores Emisión EDGE'!$K$267:$L$272,2,0),0)</f>
        <v>0</v>
      </c>
      <c r="M463" s="1325" t="e">
        <f t="shared" ca="1" si="4"/>
        <v>#NAME?</v>
      </c>
      <c r="N463" s="486" t="s">
        <v>3043</v>
      </c>
      <c r="O463" s="1312"/>
      <c r="P463" s="1312"/>
    </row>
    <row r="464" spans="1:16" ht="15.75" customHeight="1">
      <c r="A464" s="1314">
        <v>44929.714348611116</v>
      </c>
      <c r="B464" s="1310" t="s">
        <v>3715</v>
      </c>
      <c r="C464" s="1310" t="s">
        <v>2770</v>
      </c>
      <c r="D464" s="1310" t="s">
        <v>3292</v>
      </c>
      <c r="E464" s="1310" t="s">
        <v>3042</v>
      </c>
      <c r="F464" s="1310" t="s">
        <v>1995</v>
      </c>
      <c r="G464" s="1323">
        <v>3.5</v>
      </c>
      <c r="H464" s="486" t="e">
        <f t="array" aca="1" ref="H464" ca="1">+_xludf.IFS(E464="100% Presencial",1, E464="20% Teletrabajo (4 días a la semana)",0.8,E464="40% Teletrabajo (3 días a la semana)",0.6,E464="60% Teletrabajo (2 días a la semana)",0.4,E464="80% Teletrabajo (1 día a la semana)",0.2,E464="100% Teletrabajo",0)</f>
        <v>#NAME?</v>
      </c>
      <c r="I464" s="486" t="e">
        <f t="array" aca="1" ref="I464" ca="1">+_xludf.IFS(F464="Vehículo - Uso individual","Auto",F464="Vehículo - Uso compartido","Auto",F464="Transporte público/bus de acercamiento","Bus",F464="Moto","Moto",F464="Bicicleta o caminando","Bicicleta",F464="Ninguno, pues realicé 100% teletrabajo","No aplica",F464="Moto eléctrica","Moto eléctrica",F464="Vehículo eléctrico - Uso Individual","Vehículo eléctrico",F464="Vehículo eléctrico - Uso Compartido","Vehículo eléctrico")</f>
        <v>#NAME?</v>
      </c>
      <c r="J464" s="486">
        <v>0.25</v>
      </c>
      <c r="K464" s="1324" t="e">
        <f t="shared" ca="1" si="3"/>
        <v>#NAME?</v>
      </c>
      <c r="L464" s="1325">
        <f ca="1">+IFERROR(VLOOKUP(I464,'Factores Emisión EDGE'!$K$267:$L$272,2,0),0)</f>
        <v>0</v>
      </c>
      <c r="M464" s="1325" t="e">
        <f t="shared" ca="1" si="4"/>
        <v>#NAME?</v>
      </c>
      <c r="N464" s="486" t="s">
        <v>3043</v>
      </c>
      <c r="O464" s="1312"/>
      <c r="P464" s="1312"/>
    </row>
    <row r="465" spans="1:16" ht="15.75" customHeight="1">
      <c r="A465" s="1314">
        <v>44929.482084247684</v>
      </c>
      <c r="B465" s="1310" t="s">
        <v>3716</v>
      </c>
      <c r="C465" s="1310" t="s">
        <v>3717</v>
      </c>
      <c r="D465" s="1310" t="s">
        <v>3048</v>
      </c>
      <c r="E465" s="1310" t="s">
        <v>883</v>
      </c>
      <c r="F465" s="1310" t="s">
        <v>1952</v>
      </c>
      <c r="G465" s="1323">
        <v>3.5</v>
      </c>
      <c r="H465" s="486" t="e">
        <f t="array" aca="1" ref="H465" ca="1">+_xludf.IFS(E465="100% Presencial",1, E465="20% Teletrabajo (4 días a la semana)",0.8,E465="40% Teletrabajo (3 días a la semana)",0.6,E465="60% Teletrabajo (2 días a la semana)",0.4,E465="80% Teletrabajo (1 día a la semana)",0.2,E465="100% Teletrabajo",0)</f>
        <v>#NAME?</v>
      </c>
      <c r="I465" s="486" t="e">
        <f t="array" aca="1" ref="I465" ca="1">+_xludf.IFS(F465="Vehículo - Uso individual","Auto",F465="Vehículo - Uso compartido","Auto",F465="Transporte público/bus de acercamiento","Bus",F465="Moto","Moto",F465="Bicicleta o caminando","Bicicleta",F465="Ninguno, pues realicé 100% teletrabajo","No aplica",F465="Moto eléctrica","Moto eléctrica",F465="Vehículo eléctrico - Uso Individual","Vehículo eléctrico",F465="Vehículo eléctrico - Uso Compartido","Vehículo eléctrico")</f>
        <v>#NAME?</v>
      </c>
      <c r="J465" s="486">
        <v>1</v>
      </c>
      <c r="K465" s="1324" t="e">
        <f t="shared" ca="1" si="3"/>
        <v>#NAME?</v>
      </c>
      <c r="L465" s="1325">
        <f ca="1">+IFERROR(VLOOKUP(I465,'Factores Emisión EDGE'!$K$267:$L$272,2,0),0)</f>
        <v>0</v>
      </c>
      <c r="M465" s="1325" t="e">
        <f t="shared" ca="1" si="4"/>
        <v>#NAME?</v>
      </c>
      <c r="N465" s="486" t="s">
        <v>3043</v>
      </c>
      <c r="O465" s="1312"/>
      <c r="P465" s="1312"/>
    </row>
    <row r="466" spans="1:16" ht="15.75" customHeight="1">
      <c r="A466" s="1314">
        <v>44930.434660520834</v>
      </c>
      <c r="B466" s="1310" t="s">
        <v>3718</v>
      </c>
      <c r="C466" s="1310" t="s">
        <v>3719</v>
      </c>
      <c r="D466" s="1310" t="s">
        <v>3046</v>
      </c>
      <c r="E466" s="1310" t="s">
        <v>3042</v>
      </c>
      <c r="F466" s="1310" t="s">
        <v>1995</v>
      </c>
      <c r="G466" s="1323">
        <v>3</v>
      </c>
      <c r="H466" s="486" t="e">
        <f t="array" aca="1" ref="H466" ca="1">+_xludf.IFS(E466="100% Presencial",1, E466="20% Teletrabajo (4 días a la semana)",0.8,E466="40% Teletrabajo (3 días a la semana)",0.6,E466="60% Teletrabajo (2 días a la semana)",0.4,E466="80% Teletrabajo (1 día a la semana)",0.2,E466="100% Teletrabajo",0)</f>
        <v>#NAME?</v>
      </c>
      <c r="I466" s="486" t="e">
        <f t="array" aca="1" ref="I466" ca="1">+_xludf.IFS(F466="Vehículo - Uso individual","Auto",F466="Vehículo - Uso compartido","Auto",F466="Transporte público/bus de acercamiento","Bus",F466="Moto","Moto",F466="Bicicleta o caminando","Bicicleta",F466="Ninguno, pues realicé 100% teletrabajo","No aplica",F466="Moto eléctrica","Moto eléctrica",F466="Vehículo eléctrico - Uso Individual","Vehículo eléctrico",F466="Vehículo eléctrico - Uso Compartido","Vehículo eléctrico")</f>
        <v>#NAME?</v>
      </c>
      <c r="J466" s="486">
        <v>0.25</v>
      </c>
      <c r="K466" s="1324" t="e">
        <f t="shared" ca="1" si="3"/>
        <v>#NAME?</v>
      </c>
      <c r="L466" s="1325">
        <f ca="1">+IFERROR(VLOOKUP(I466,'Factores Emisión EDGE'!$K$267:$L$272,2,0),0)</f>
        <v>0</v>
      </c>
      <c r="M466" s="1325" t="e">
        <f t="shared" ca="1" si="4"/>
        <v>#NAME?</v>
      </c>
      <c r="N466" s="486" t="s">
        <v>3056</v>
      </c>
      <c r="O466" s="1312"/>
      <c r="P466" s="1312"/>
    </row>
    <row r="467" spans="1:16" ht="15.75" customHeight="1">
      <c r="A467" s="1314">
        <v>44939.519289629628</v>
      </c>
      <c r="B467" s="1310" t="s">
        <v>3720</v>
      </c>
      <c r="C467" s="1310" t="s">
        <v>3721</v>
      </c>
      <c r="D467" s="1310" t="s">
        <v>3048</v>
      </c>
      <c r="E467" s="1310" t="s">
        <v>3042</v>
      </c>
      <c r="F467" s="1310" t="s">
        <v>3055</v>
      </c>
      <c r="G467" s="1323">
        <v>3</v>
      </c>
      <c r="H467" s="486" t="e">
        <f t="array" aca="1" ref="H467" ca="1">+_xludf.IFS(E467="100% Presencial",1, E467="20% Teletrabajo (4 días a la semana)",0.8,E467="40% Teletrabajo (3 días a la semana)",0.6,E467="60% Teletrabajo (2 días a la semana)",0.4,E467="80% Teletrabajo (1 día a la semana)",0.2,E467="100% Teletrabajo",0)</f>
        <v>#NAME?</v>
      </c>
      <c r="I467" s="486" t="e">
        <f t="array" aca="1" ref="I467" ca="1">+_xludf.IFS(F467="Vehículo - Uso individual","Auto",F467="Vehículo - Uso compartido","Auto",F467="Transporte público/bus de acercamiento","Bus",F467="Moto","Moto",F467="Bicicleta o caminando","Bicicleta",F467="Ninguno, pues realicé 100% teletrabajo","No aplica",F467="Moto eléctrica","Moto eléctrica",F467="Vehículo eléctrico - Uso Individual","Vehículo eléctrico",F467="Vehículo eléctrico - Uso Compartido","Vehículo eléctrico")</f>
        <v>#NAME?</v>
      </c>
      <c r="J467" s="486">
        <v>1</v>
      </c>
      <c r="K467" s="1324" t="e">
        <f t="shared" ca="1" si="3"/>
        <v>#NAME?</v>
      </c>
      <c r="L467" s="1325">
        <f ca="1">+IFERROR(VLOOKUP(I467,'Factores Emisión EDGE'!$K$267:$L$272,2,0),0)</f>
        <v>0</v>
      </c>
      <c r="M467" s="1325" t="e">
        <f t="shared" ca="1" si="4"/>
        <v>#NAME?</v>
      </c>
      <c r="N467" s="486" t="s">
        <v>3056</v>
      </c>
      <c r="O467" s="1312"/>
      <c r="P467" s="1312"/>
    </row>
    <row r="468" spans="1:16" ht="15.75" customHeight="1">
      <c r="A468" s="1314">
        <v>44929.487129409725</v>
      </c>
      <c r="B468" s="1310" t="s">
        <v>3722</v>
      </c>
      <c r="C468" s="1310" t="s">
        <v>2532</v>
      </c>
      <c r="D468" s="1310" t="s">
        <v>3580</v>
      </c>
      <c r="E468" s="1310" t="s">
        <v>3042</v>
      </c>
      <c r="F468" s="1310" t="s">
        <v>1952</v>
      </c>
      <c r="G468" s="1323">
        <v>3</v>
      </c>
      <c r="H468" s="486" t="e">
        <f t="array" aca="1" ref="H468" ca="1">+_xludf.IFS(E468="100% Presencial",1, E468="20% Teletrabajo (4 días a la semana)",0.8,E468="40% Teletrabajo (3 días a la semana)",0.6,E468="60% Teletrabajo (2 días a la semana)",0.4,E468="80% Teletrabajo (1 día a la semana)",0.2,E468="100% Teletrabajo",0)</f>
        <v>#NAME?</v>
      </c>
      <c r="I468" s="486" t="e">
        <f t="array" aca="1" ref="I468" ca="1">+_xludf.IFS(F468="Vehículo - Uso individual","Auto",F468="Vehículo - Uso compartido","Auto",F468="Transporte público/bus de acercamiento","Bus",F468="Moto","Moto",F468="Bicicleta o caminando","Bicicleta",F468="Ninguno, pues realicé 100% teletrabajo","No aplica",F468="Moto eléctrica","Moto eléctrica",F468="Vehículo eléctrico - Uso Individual","Vehículo eléctrico",F468="Vehículo eléctrico - Uso Compartido","Vehículo eléctrico")</f>
        <v>#NAME?</v>
      </c>
      <c r="J468" s="486">
        <v>1</v>
      </c>
      <c r="K468" s="1324" t="e">
        <f t="shared" ca="1" si="3"/>
        <v>#NAME?</v>
      </c>
      <c r="L468" s="1325">
        <f ca="1">+IFERROR(VLOOKUP(I468,'Factores Emisión EDGE'!$K$267:$L$272,2,0),0)</f>
        <v>0</v>
      </c>
      <c r="M468" s="1325" t="e">
        <f t="shared" ca="1" si="4"/>
        <v>#NAME?</v>
      </c>
      <c r="N468" s="486" t="s">
        <v>3043</v>
      </c>
      <c r="O468" s="1312"/>
      <c r="P468" s="1312"/>
    </row>
    <row r="469" spans="1:16" ht="15.75" customHeight="1">
      <c r="A469" s="1314">
        <v>44935.378295891205</v>
      </c>
      <c r="B469" s="1310" t="s">
        <v>3723</v>
      </c>
      <c r="C469" s="1310" t="s">
        <v>3724</v>
      </c>
      <c r="D469" s="1310" t="s">
        <v>3063</v>
      </c>
      <c r="E469" s="1310" t="s">
        <v>3042</v>
      </c>
      <c r="F469" s="1310" t="s">
        <v>1995</v>
      </c>
      <c r="G469" s="1323">
        <v>3</v>
      </c>
      <c r="H469" s="486" t="e">
        <f t="array" aca="1" ref="H469" ca="1">+_xludf.IFS(E469="100% Presencial",1, E469="20% Teletrabajo (4 días a la semana)",0.8,E469="40% Teletrabajo (3 días a la semana)",0.6,E469="60% Teletrabajo (2 días a la semana)",0.4,E469="80% Teletrabajo (1 día a la semana)",0.2,E469="100% Teletrabajo",0)</f>
        <v>#NAME?</v>
      </c>
      <c r="I469" s="486" t="e">
        <f t="array" aca="1" ref="I469" ca="1">+_xludf.IFS(F469="Vehículo - Uso individual","Auto",F469="Vehículo - Uso compartido","Auto",F469="Transporte público/bus de acercamiento","Bus",F469="Moto","Moto",F469="Bicicleta o caminando","Bicicleta",F469="Ninguno, pues realicé 100% teletrabajo","No aplica",F469="Moto eléctrica","Moto eléctrica",F469="Vehículo eléctrico - Uso Individual","Vehículo eléctrico",F469="Vehículo eléctrico - Uso Compartido","Vehículo eléctrico")</f>
        <v>#NAME?</v>
      </c>
      <c r="J469" s="486">
        <v>0.25</v>
      </c>
      <c r="K469" s="1324" t="e">
        <f t="shared" ca="1" si="3"/>
        <v>#NAME?</v>
      </c>
      <c r="L469" s="1325">
        <f ca="1">+IFERROR(VLOOKUP(I469,'Factores Emisión EDGE'!$K$267:$L$272,2,0),0)</f>
        <v>0</v>
      </c>
      <c r="M469" s="1325" t="e">
        <f t="shared" ca="1" si="4"/>
        <v>#NAME?</v>
      </c>
      <c r="N469" s="486" t="s">
        <v>3056</v>
      </c>
      <c r="O469" s="1312"/>
      <c r="P469" s="1312"/>
    </row>
    <row r="470" spans="1:16" ht="15.75" customHeight="1">
      <c r="A470" s="1314">
        <v>44935.466501423609</v>
      </c>
      <c r="B470" s="1310" t="s">
        <v>3725</v>
      </c>
      <c r="C470" s="1310" t="s">
        <v>3726</v>
      </c>
      <c r="D470" s="1310" t="s">
        <v>3080</v>
      </c>
      <c r="E470" s="1310" t="s">
        <v>3042</v>
      </c>
      <c r="F470" s="1310" t="s">
        <v>1952</v>
      </c>
      <c r="G470" s="1323">
        <v>3</v>
      </c>
      <c r="H470" s="486" t="e">
        <f t="array" aca="1" ref="H470" ca="1">+_xludf.IFS(E470="100% Presencial",1, E470="20% Teletrabajo (4 días a la semana)",0.8,E470="40% Teletrabajo (3 días a la semana)",0.6,E470="60% Teletrabajo (2 días a la semana)",0.4,E470="80% Teletrabajo (1 día a la semana)",0.2,E470="100% Teletrabajo",0)</f>
        <v>#NAME?</v>
      </c>
      <c r="I470" s="486" t="e">
        <f t="array" aca="1" ref="I470" ca="1">+_xludf.IFS(F470="Vehículo - Uso individual","Auto",F470="Vehículo - Uso compartido","Auto",F470="Transporte público/bus de acercamiento","Bus",F470="Moto","Moto",F470="Bicicleta o caminando","Bicicleta",F470="Ninguno, pues realicé 100% teletrabajo","No aplica",F470="Moto eléctrica","Moto eléctrica",F470="Vehículo eléctrico - Uso Individual","Vehículo eléctrico",F470="Vehículo eléctrico - Uso Compartido","Vehículo eléctrico")</f>
        <v>#NAME?</v>
      </c>
      <c r="J470" s="486">
        <v>1</v>
      </c>
      <c r="K470" s="1324" t="e">
        <f t="shared" ca="1" si="3"/>
        <v>#NAME?</v>
      </c>
      <c r="L470" s="1325">
        <f ca="1">+IFERROR(VLOOKUP(I470,'Factores Emisión EDGE'!$K$267:$L$272,2,0),0)</f>
        <v>0</v>
      </c>
      <c r="M470" s="1325" t="e">
        <f t="shared" ca="1" si="4"/>
        <v>#NAME?</v>
      </c>
      <c r="N470" s="486" t="s">
        <v>3056</v>
      </c>
      <c r="O470" s="1312"/>
      <c r="P470" s="1312"/>
    </row>
    <row r="471" spans="1:16" ht="15.75" customHeight="1">
      <c r="A471" s="1314">
        <v>44938.558940949079</v>
      </c>
      <c r="B471" s="1310" t="s">
        <v>3727</v>
      </c>
      <c r="C471" s="1310" t="s">
        <v>3728</v>
      </c>
      <c r="D471" s="1310" t="s">
        <v>3054</v>
      </c>
      <c r="E471" s="1310" t="s">
        <v>3042</v>
      </c>
      <c r="F471" s="1310" t="s">
        <v>1952</v>
      </c>
      <c r="G471" s="1323">
        <v>3</v>
      </c>
      <c r="H471" s="486" t="e">
        <f t="array" aca="1" ref="H471" ca="1">+_xludf.IFS(E471="100% Presencial",1, E471="20% Teletrabajo (4 días a la semana)",0.8,E471="40% Teletrabajo (3 días a la semana)",0.6,E471="60% Teletrabajo (2 días a la semana)",0.4,E471="80% Teletrabajo (1 día a la semana)",0.2,E471="100% Teletrabajo",0)</f>
        <v>#NAME?</v>
      </c>
      <c r="I471" s="486" t="e">
        <f t="array" aca="1" ref="I471" ca="1">+_xludf.IFS(F471="Vehículo - Uso individual","Auto",F471="Vehículo - Uso compartido","Auto",F471="Transporte público/bus de acercamiento","Bus",F471="Moto","Moto",F471="Bicicleta o caminando","Bicicleta",F471="Ninguno, pues realicé 100% teletrabajo","No aplica",F471="Moto eléctrica","Moto eléctrica",F471="Vehículo eléctrico - Uso Individual","Vehículo eléctrico",F471="Vehículo eléctrico - Uso Compartido","Vehículo eléctrico")</f>
        <v>#NAME?</v>
      </c>
      <c r="J471" s="486">
        <v>1</v>
      </c>
      <c r="K471" s="1324" t="e">
        <f t="shared" ca="1" si="3"/>
        <v>#NAME?</v>
      </c>
      <c r="L471" s="1325">
        <f ca="1">+IFERROR(VLOOKUP(I471,'Factores Emisión EDGE'!$K$267:$L$272,2,0),0)</f>
        <v>0</v>
      </c>
      <c r="M471" s="1325" t="e">
        <f t="shared" ca="1" si="4"/>
        <v>#NAME?</v>
      </c>
      <c r="N471" s="486" t="s">
        <v>3056</v>
      </c>
      <c r="O471" s="1312"/>
      <c r="P471" s="1312"/>
    </row>
    <row r="472" spans="1:16" ht="15.75" customHeight="1">
      <c r="A472" s="1314">
        <v>44938.713146145834</v>
      </c>
      <c r="B472" s="1310" t="s">
        <v>3725</v>
      </c>
      <c r="C472" s="1310" t="s">
        <v>3726</v>
      </c>
      <c r="D472" s="1310" t="s">
        <v>3080</v>
      </c>
      <c r="E472" s="1310" t="s">
        <v>3042</v>
      </c>
      <c r="F472" s="1310" t="s">
        <v>1952</v>
      </c>
      <c r="G472" s="1323">
        <v>3</v>
      </c>
      <c r="H472" s="486" t="e">
        <f t="array" aca="1" ref="H472" ca="1">+_xludf.IFS(E472="100% Presencial",1, E472="20% Teletrabajo (4 días a la semana)",0.8,E472="40% Teletrabajo (3 días a la semana)",0.6,E472="60% Teletrabajo (2 días a la semana)",0.4,E472="80% Teletrabajo (1 día a la semana)",0.2,E472="100% Teletrabajo",0)</f>
        <v>#NAME?</v>
      </c>
      <c r="I472" s="486" t="e">
        <f t="array" aca="1" ref="I472" ca="1">+_xludf.IFS(F472="Vehículo - Uso individual","Auto",F472="Vehículo - Uso compartido","Auto",F472="Transporte público/bus de acercamiento","Bus",F472="Moto","Moto",F472="Bicicleta o caminando","Bicicleta",F472="Ninguno, pues realicé 100% teletrabajo","No aplica",F472="Moto eléctrica","Moto eléctrica",F472="Vehículo eléctrico - Uso Individual","Vehículo eléctrico",F472="Vehículo eléctrico - Uso Compartido","Vehículo eléctrico")</f>
        <v>#NAME?</v>
      </c>
      <c r="J472" s="486">
        <v>1</v>
      </c>
      <c r="K472" s="1324" t="e">
        <f t="shared" ca="1" si="3"/>
        <v>#NAME?</v>
      </c>
      <c r="L472" s="1325">
        <f ca="1">+IFERROR(VLOOKUP(I472,'Factores Emisión EDGE'!$K$267:$L$272,2,0),0)</f>
        <v>0</v>
      </c>
      <c r="M472" s="1325" t="e">
        <f t="shared" ca="1" si="4"/>
        <v>#NAME?</v>
      </c>
      <c r="N472" s="486" t="s">
        <v>3056</v>
      </c>
      <c r="O472" s="1312"/>
      <c r="P472" s="1312"/>
    </row>
    <row r="473" spans="1:16" ht="15.75" customHeight="1">
      <c r="A473" s="1314">
        <v>44939.446667465279</v>
      </c>
      <c r="B473" s="1310" t="s">
        <v>3729</v>
      </c>
      <c r="C473" s="1310" t="s">
        <v>3730</v>
      </c>
      <c r="D473" s="1310" t="s">
        <v>3048</v>
      </c>
      <c r="E473" s="1310" t="s">
        <v>3042</v>
      </c>
      <c r="F473" s="1310" t="s">
        <v>1995</v>
      </c>
      <c r="G473" s="1323">
        <v>3</v>
      </c>
      <c r="H473" s="486" t="e">
        <f t="array" aca="1" ref="H473" ca="1">+_xludf.IFS(E473="100% Presencial",1, E473="20% Teletrabajo (4 días a la semana)",0.8,E473="40% Teletrabajo (3 días a la semana)",0.6,E473="60% Teletrabajo (2 días a la semana)",0.4,E473="80% Teletrabajo (1 día a la semana)",0.2,E473="100% Teletrabajo",0)</f>
        <v>#NAME?</v>
      </c>
      <c r="I473" s="486" t="e">
        <f t="array" aca="1" ref="I473" ca="1">+_xludf.IFS(F473="Vehículo - Uso individual","Auto",F473="Vehículo - Uso compartido","Auto",F473="Transporte público/bus de acercamiento","Bus",F473="Moto","Moto",F473="Bicicleta o caminando","Bicicleta",F473="Ninguno, pues realicé 100% teletrabajo","No aplica",F473="Moto eléctrica","Moto eléctrica",F473="Vehículo eléctrico - Uso Individual","Vehículo eléctrico",F473="Vehículo eléctrico - Uso Compartido","Vehículo eléctrico")</f>
        <v>#NAME?</v>
      </c>
      <c r="J473" s="486">
        <v>0.25</v>
      </c>
      <c r="K473" s="1324" t="e">
        <f t="shared" ca="1" si="3"/>
        <v>#NAME?</v>
      </c>
      <c r="L473" s="1325">
        <f ca="1">+IFERROR(VLOOKUP(I473,'Factores Emisión EDGE'!$K$267:$L$272,2,0),0)</f>
        <v>0</v>
      </c>
      <c r="M473" s="1325" t="e">
        <f t="shared" ca="1" si="4"/>
        <v>#NAME?</v>
      </c>
      <c r="N473" s="486" t="s">
        <v>3043</v>
      </c>
      <c r="O473" s="1312"/>
      <c r="P473" s="1312"/>
    </row>
    <row r="474" spans="1:16" ht="15.75" customHeight="1">
      <c r="A474" s="1314">
        <v>44930.454259699072</v>
      </c>
      <c r="B474" s="1310" t="s">
        <v>3731</v>
      </c>
      <c r="C474" s="1310" t="s">
        <v>3732</v>
      </c>
      <c r="D474" s="1310" t="s">
        <v>3063</v>
      </c>
      <c r="E474" s="1310" t="s">
        <v>3042</v>
      </c>
      <c r="F474" s="1310" t="s">
        <v>1952</v>
      </c>
      <c r="G474" s="1323">
        <v>3</v>
      </c>
      <c r="H474" s="486" t="e">
        <f t="array" aca="1" ref="H474" ca="1">+_xludf.IFS(E474="100% Presencial",1, E474="20% Teletrabajo (4 días a la semana)",0.8,E474="40% Teletrabajo (3 días a la semana)",0.6,E474="60% Teletrabajo (2 días a la semana)",0.4,E474="80% Teletrabajo (1 día a la semana)",0.2,E474="100% Teletrabajo",0)</f>
        <v>#NAME?</v>
      </c>
      <c r="I474" s="486" t="e">
        <f t="array" aca="1" ref="I474" ca="1">+_xludf.IFS(F474="Vehículo - Uso individual","Auto",F474="Vehículo - Uso compartido","Auto",F474="Transporte público/bus de acercamiento","Bus",F474="Moto","Moto",F474="Bicicleta o caminando","Bicicleta",F474="Ninguno, pues realicé 100% teletrabajo","No aplica",F474="Moto eléctrica","Moto eléctrica",F474="Vehículo eléctrico - Uso Individual","Vehículo eléctrico",F474="Vehículo eléctrico - Uso Compartido","Vehículo eléctrico")</f>
        <v>#NAME?</v>
      </c>
      <c r="J474" s="486">
        <v>1</v>
      </c>
      <c r="K474" s="1324" t="e">
        <f t="shared" ca="1" si="3"/>
        <v>#NAME?</v>
      </c>
      <c r="L474" s="1325">
        <f ca="1">+IFERROR(VLOOKUP(I474,'Factores Emisión EDGE'!$K$267:$L$272,2,0),0)</f>
        <v>0</v>
      </c>
      <c r="M474" s="1325" t="e">
        <f t="shared" ca="1" si="4"/>
        <v>#NAME?</v>
      </c>
      <c r="N474" s="486" t="s">
        <v>3056</v>
      </c>
      <c r="O474" s="1312"/>
      <c r="P474" s="1312"/>
    </row>
    <row r="475" spans="1:16" ht="15.75" customHeight="1">
      <c r="A475" s="1314">
        <v>44930.447523807874</v>
      </c>
      <c r="B475" s="1310" t="s">
        <v>3733</v>
      </c>
      <c r="C475" s="1310" t="s">
        <v>3734</v>
      </c>
      <c r="D475" s="1310" t="s">
        <v>3664</v>
      </c>
      <c r="E475" s="1310" t="s">
        <v>881</v>
      </c>
      <c r="F475" s="1310" t="s">
        <v>1952</v>
      </c>
      <c r="G475" s="1323">
        <v>3</v>
      </c>
      <c r="H475" s="486" t="e">
        <f t="array" aca="1" ref="H475" ca="1">+_xludf.IFS(E475="100% Presencial",1, E475="20% Teletrabajo (4 días a la semana)",0.8,E475="40% Teletrabajo (3 días a la semana)",0.6,E475="60% Teletrabajo (2 días a la semana)",0.4,E475="80% Teletrabajo (1 día a la semana)",0.2,E475="100% Teletrabajo",0)</f>
        <v>#NAME?</v>
      </c>
      <c r="I475" s="486" t="e">
        <f t="array" aca="1" ref="I475" ca="1">+_xludf.IFS(F475="Vehículo - Uso individual","Auto",F475="Vehículo - Uso compartido","Auto",F475="Transporte público/bus de acercamiento","Bus",F475="Moto","Moto",F475="Bicicleta o caminando","Bicicleta",F475="Ninguno, pues realicé 100% teletrabajo","No aplica",F475="Moto eléctrica","Moto eléctrica",F475="Vehículo eléctrico - Uso Individual","Vehículo eléctrico",F475="Vehículo eléctrico - Uso Compartido","Vehículo eléctrico")</f>
        <v>#NAME?</v>
      </c>
      <c r="J475" s="486">
        <v>1</v>
      </c>
      <c r="K475" s="1324" t="e">
        <f t="shared" ca="1" si="3"/>
        <v>#NAME?</v>
      </c>
      <c r="L475" s="1325">
        <f ca="1">+IFERROR(VLOOKUP(I475,'Factores Emisión EDGE'!$K$267:$L$272,2,0),0)</f>
        <v>0</v>
      </c>
      <c r="M475" s="1325" t="e">
        <f t="shared" ca="1" si="4"/>
        <v>#NAME?</v>
      </c>
      <c r="N475" s="486" t="s">
        <v>3056</v>
      </c>
      <c r="O475" s="1312"/>
      <c r="P475" s="1312"/>
    </row>
    <row r="476" spans="1:16" ht="15.75" customHeight="1">
      <c r="A476" s="1314">
        <v>44929.50669545139</v>
      </c>
      <c r="B476" s="1310" t="s">
        <v>3735</v>
      </c>
      <c r="C476" s="1310" t="s">
        <v>3736</v>
      </c>
      <c r="D476" s="1310" t="s">
        <v>3083</v>
      </c>
      <c r="E476" s="1310" t="s">
        <v>3042</v>
      </c>
      <c r="F476" s="1310" t="s">
        <v>1983</v>
      </c>
      <c r="G476" s="1323">
        <v>3</v>
      </c>
      <c r="H476" s="486" t="e">
        <f t="array" aca="1" ref="H476" ca="1">+_xludf.IFS(E476="100% Presencial",1, E476="20% Teletrabajo (4 días a la semana)",0.8,E476="40% Teletrabajo (3 días a la semana)",0.6,E476="60% Teletrabajo (2 días a la semana)",0.4,E476="80% Teletrabajo (1 día a la semana)",0.2,E476="100% Teletrabajo",0)</f>
        <v>#NAME?</v>
      </c>
      <c r="I476" s="486" t="e">
        <f t="array" aca="1" ref="I476" ca="1">+_xludf.IFS(F476="Vehículo - Uso individual","Auto",F476="Vehículo - Uso compartido","Auto",F476="Transporte público/bus de acercamiento","Bus",F476="Moto","Moto",F476="Bicicleta o caminando","Bicicleta",F476="Ninguno, pues realicé 100% teletrabajo","No aplica",F476="Moto eléctrica","Moto eléctrica",F476="Vehículo eléctrico - Uso Individual","Vehículo eléctrico",F476="Vehículo eléctrico - Uso Compartido","Vehículo eléctrico")</f>
        <v>#NAME?</v>
      </c>
      <c r="J476" s="486">
        <v>1</v>
      </c>
      <c r="K476" s="1324" t="e">
        <f t="shared" ca="1" si="3"/>
        <v>#NAME?</v>
      </c>
      <c r="L476" s="1325">
        <f ca="1">+IFERROR(VLOOKUP(I476,'Factores Emisión EDGE'!$K$267:$L$272,2,0),0)</f>
        <v>0</v>
      </c>
      <c r="M476" s="1325" t="e">
        <f t="shared" ca="1" si="4"/>
        <v>#NAME?</v>
      </c>
      <c r="N476" s="486" t="s">
        <v>3043</v>
      </c>
      <c r="O476" s="1312"/>
      <c r="P476" s="1312"/>
    </row>
    <row r="477" spans="1:16" ht="15.75" customHeight="1">
      <c r="A477" s="1314">
        <v>44929.762288206017</v>
      </c>
      <c r="B477" s="1310" t="s">
        <v>3737</v>
      </c>
      <c r="C477" s="1310" t="s">
        <v>2076</v>
      </c>
      <c r="D477" s="1310" t="s">
        <v>3048</v>
      </c>
      <c r="E477" s="1310" t="s">
        <v>3066</v>
      </c>
      <c r="F477" s="1310" t="s">
        <v>1952</v>
      </c>
      <c r="G477" s="1323">
        <v>3</v>
      </c>
      <c r="H477" s="486" t="e">
        <f t="array" aca="1" ref="H477" ca="1">+_xludf.IFS(E477="100% Presencial",1, E477="20% Teletrabajo (4 días a la semana)",0.8,E477="40% Teletrabajo (3 días a la semana)",0.6,E477="60% Teletrabajo (2 días a la semana)",0.4,E477="80% Teletrabajo (1 día a la semana)",0.2,E477="100% Teletrabajo",0)</f>
        <v>#NAME?</v>
      </c>
      <c r="I477" s="486" t="e">
        <f t="array" aca="1" ref="I477" ca="1">+_xludf.IFS(F477="Vehículo - Uso individual","Auto",F477="Vehículo - Uso compartido","Auto",F477="Transporte público/bus de acercamiento","Bus",F477="Moto","Moto",F477="Bicicleta o caminando","Bicicleta",F477="Ninguno, pues realicé 100% teletrabajo","No aplica",F477="Moto eléctrica","Moto eléctrica",F477="Vehículo eléctrico - Uso Individual","Vehículo eléctrico",F477="Vehículo eléctrico - Uso Compartido","Vehículo eléctrico")</f>
        <v>#NAME?</v>
      </c>
      <c r="J477" s="486">
        <v>1</v>
      </c>
      <c r="K477" s="1324" t="e">
        <f t="shared" ca="1" si="3"/>
        <v>#NAME?</v>
      </c>
      <c r="L477" s="1325">
        <f ca="1">+IFERROR(VLOOKUP(I477,'Factores Emisión EDGE'!$K$267:$L$272,2,0),0)</f>
        <v>0</v>
      </c>
      <c r="M477" s="1325" t="e">
        <f t="shared" ca="1" si="4"/>
        <v>#NAME?</v>
      </c>
      <c r="N477" s="486" t="s">
        <v>3043</v>
      </c>
      <c r="O477" s="1312"/>
      <c r="P477" s="1312"/>
    </row>
    <row r="478" spans="1:16" ht="15.75" customHeight="1">
      <c r="A478" s="1314">
        <v>44930.44735761574</v>
      </c>
      <c r="B478" s="1310" t="s">
        <v>3738</v>
      </c>
      <c r="C478" s="1310" t="s">
        <v>3739</v>
      </c>
      <c r="D478" s="1310" t="s">
        <v>3063</v>
      </c>
      <c r="E478" s="1310" t="s">
        <v>3042</v>
      </c>
      <c r="F478" s="1310" t="s">
        <v>1983</v>
      </c>
      <c r="G478" s="1323">
        <v>3</v>
      </c>
      <c r="H478" s="486" t="e">
        <f t="array" aca="1" ref="H478" ca="1">+_xludf.IFS(E478="100% Presencial",1, E478="20% Teletrabajo (4 días a la semana)",0.8,E478="40% Teletrabajo (3 días a la semana)",0.6,E478="60% Teletrabajo (2 días a la semana)",0.4,E478="80% Teletrabajo (1 día a la semana)",0.2,E478="100% Teletrabajo",0)</f>
        <v>#NAME?</v>
      </c>
      <c r="I478" s="486" t="e">
        <f t="array" aca="1" ref="I478" ca="1">+_xludf.IFS(F478="Vehículo - Uso individual","Auto",F478="Vehículo - Uso compartido","Auto",F478="Transporte público/bus de acercamiento","Bus",F478="Moto","Moto",F478="Bicicleta o caminando","Bicicleta",F478="Ninguno, pues realicé 100% teletrabajo","No aplica",F478="Moto eléctrica","Moto eléctrica",F478="Vehículo eléctrico - Uso Individual","Vehículo eléctrico",F478="Vehículo eléctrico - Uso Compartido","Vehículo eléctrico")</f>
        <v>#NAME?</v>
      </c>
      <c r="J478" s="486">
        <v>1</v>
      </c>
      <c r="K478" s="1324" t="e">
        <f t="shared" ca="1" si="3"/>
        <v>#NAME?</v>
      </c>
      <c r="L478" s="1325">
        <f ca="1">+IFERROR(VLOOKUP(I478,'Factores Emisión EDGE'!$K$267:$L$272,2,0),0)</f>
        <v>0</v>
      </c>
      <c r="M478" s="1325" t="e">
        <f t="shared" ca="1" si="4"/>
        <v>#NAME?</v>
      </c>
      <c r="N478" s="486" t="s">
        <v>3056</v>
      </c>
      <c r="O478" s="1312"/>
      <c r="P478" s="1312"/>
    </row>
    <row r="479" spans="1:16" ht="15.75" customHeight="1">
      <c r="A479" s="1314">
        <v>44930.704527557871</v>
      </c>
      <c r="B479" s="1310" t="s">
        <v>3740</v>
      </c>
      <c r="C479" s="1310" t="s">
        <v>3741</v>
      </c>
      <c r="D479" s="1310" t="s">
        <v>3060</v>
      </c>
      <c r="E479" s="1310" t="s">
        <v>3042</v>
      </c>
      <c r="F479" s="1310" t="s">
        <v>1952</v>
      </c>
      <c r="G479" s="1323">
        <v>3</v>
      </c>
      <c r="H479" s="486" t="e">
        <f t="array" aca="1" ref="H479" ca="1">+_xludf.IFS(E479="100% Presencial",1, E479="20% Teletrabajo (4 días a la semana)",0.8,E479="40% Teletrabajo (3 días a la semana)",0.6,E479="60% Teletrabajo (2 días a la semana)",0.4,E479="80% Teletrabajo (1 día a la semana)",0.2,E479="100% Teletrabajo",0)</f>
        <v>#NAME?</v>
      </c>
      <c r="I479" s="486" t="e">
        <f t="array" aca="1" ref="I479" ca="1">+_xludf.IFS(F479="Vehículo - Uso individual","Auto",F479="Vehículo - Uso compartido","Auto",F479="Transporte público/bus de acercamiento","Bus",F479="Moto","Moto",F479="Bicicleta o caminando","Bicicleta",F479="Ninguno, pues realicé 100% teletrabajo","No aplica",F479="Moto eléctrica","Moto eléctrica",F479="Vehículo eléctrico - Uso Individual","Vehículo eléctrico",F479="Vehículo eléctrico - Uso Compartido","Vehículo eléctrico")</f>
        <v>#NAME?</v>
      </c>
      <c r="J479" s="486">
        <v>1</v>
      </c>
      <c r="K479" s="1324" t="e">
        <f t="shared" ca="1" si="3"/>
        <v>#NAME?</v>
      </c>
      <c r="L479" s="1325">
        <f ca="1">+IFERROR(VLOOKUP(I479,'Factores Emisión EDGE'!$K$267:$L$272,2,0),0)</f>
        <v>0</v>
      </c>
      <c r="M479" s="1325" t="e">
        <f t="shared" ca="1" si="4"/>
        <v>#NAME?</v>
      </c>
      <c r="N479" s="486" t="s">
        <v>3056</v>
      </c>
      <c r="O479" s="1312"/>
      <c r="P479" s="1312"/>
    </row>
    <row r="480" spans="1:16" ht="15.75" customHeight="1">
      <c r="A480" s="1314">
        <v>44936.718680613427</v>
      </c>
      <c r="B480" s="1310" t="s">
        <v>3742</v>
      </c>
      <c r="C480" s="1310" t="s">
        <v>3743</v>
      </c>
      <c r="D480" s="1310" t="s">
        <v>3048</v>
      </c>
      <c r="E480" s="1310" t="s">
        <v>3042</v>
      </c>
      <c r="F480" s="1310" t="s">
        <v>1952</v>
      </c>
      <c r="G480" s="1323">
        <v>3</v>
      </c>
      <c r="H480" s="486" t="e">
        <f t="array" aca="1" ref="H480" ca="1">+_xludf.IFS(E480="100% Presencial",1, E480="20% Teletrabajo (4 días a la semana)",0.8,E480="40% Teletrabajo (3 días a la semana)",0.6,E480="60% Teletrabajo (2 días a la semana)",0.4,E480="80% Teletrabajo (1 día a la semana)",0.2,E480="100% Teletrabajo",0)</f>
        <v>#NAME?</v>
      </c>
      <c r="I480" s="486" t="e">
        <f t="array" aca="1" ref="I480" ca="1">+_xludf.IFS(F480="Vehículo - Uso individual","Auto",F480="Vehículo - Uso compartido","Auto",F480="Transporte público/bus de acercamiento","Bus",F480="Moto","Moto",F480="Bicicleta o caminando","Bicicleta",F480="Ninguno, pues realicé 100% teletrabajo","No aplica",F480="Moto eléctrica","Moto eléctrica",F480="Vehículo eléctrico - Uso Individual","Vehículo eléctrico",F480="Vehículo eléctrico - Uso Compartido","Vehículo eléctrico")</f>
        <v>#NAME?</v>
      </c>
      <c r="J480" s="486">
        <v>1</v>
      </c>
      <c r="K480" s="1324" t="e">
        <f t="shared" ca="1" si="3"/>
        <v>#NAME?</v>
      </c>
      <c r="L480" s="1325">
        <f ca="1">+IFERROR(VLOOKUP(I480,'Factores Emisión EDGE'!$K$267:$L$272,2,0),0)</f>
        <v>0</v>
      </c>
      <c r="M480" s="1325" t="e">
        <f t="shared" ca="1" si="4"/>
        <v>#NAME?</v>
      </c>
      <c r="N480" s="486" t="s">
        <v>3043</v>
      </c>
      <c r="O480" s="1312"/>
      <c r="P480" s="1312"/>
    </row>
    <row r="481" spans="1:16" ht="15.75" customHeight="1">
      <c r="A481" s="1314">
        <v>44938.555701736113</v>
      </c>
      <c r="B481" s="1310" t="s">
        <v>3744</v>
      </c>
      <c r="C481" s="1310" t="s">
        <v>3745</v>
      </c>
      <c r="D481" s="1310" t="s">
        <v>3107</v>
      </c>
      <c r="E481" s="1310" t="s">
        <v>3042</v>
      </c>
      <c r="F481" s="1310" t="s">
        <v>1952</v>
      </c>
      <c r="G481" s="1323">
        <v>3</v>
      </c>
      <c r="H481" s="486" t="e">
        <f t="array" aca="1" ref="H481" ca="1">+_xludf.IFS(E481="100% Presencial",1, E481="20% Teletrabajo (4 días a la semana)",0.8,E481="40% Teletrabajo (3 días a la semana)",0.6,E481="60% Teletrabajo (2 días a la semana)",0.4,E481="80% Teletrabajo (1 día a la semana)",0.2,E481="100% Teletrabajo",0)</f>
        <v>#NAME?</v>
      </c>
      <c r="I481" s="486" t="e">
        <f t="array" aca="1" ref="I481" ca="1">+_xludf.IFS(F481="Vehículo - Uso individual","Auto",F481="Vehículo - Uso compartido","Auto",F481="Transporte público/bus de acercamiento","Bus",F481="Moto","Moto",F481="Bicicleta o caminando","Bicicleta",F481="Ninguno, pues realicé 100% teletrabajo","No aplica",F481="Moto eléctrica","Moto eléctrica",F481="Vehículo eléctrico - Uso Individual","Vehículo eléctrico",F481="Vehículo eléctrico - Uso Compartido","Vehículo eléctrico")</f>
        <v>#NAME?</v>
      </c>
      <c r="J481" s="486">
        <v>1</v>
      </c>
      <c r="K481" s="1324" t="e">
        <f t="shared" ca="1" si="3"/>
        <v>#NAME?</v>
      </c>
      <c r="L481" s="1325">
        <f ca="1">+IFERROR(VLOOKUP(I481,'Factores Emisión EDGE'!$K$267:$L$272,2,0),0)</f>
        <v>0</v>
      </c>
      <c r="M481" s="1325" t="e">
        <f t="shared" ca="1" si="4"/>
        <v>#NAME?</v>
      </c>
      <c r="N481" s="486" t="s">
        <v>3056</v>
      </c>
      <c r="O481" s="1312"/>
      <c r="P481" s="1312"/>
    </row>
    <row r="482" spans="1:16" ht="15.75" customHeight="1">
      <c r="A482" s="1314">
        <v>44938.622004594909</v>
      </c>
      <c r="B482" s="1310" t="s">
        <v>3746</v>
      </c>
      <c r="C482" s="1310" t="s">
        <v>3747</v>
      </c>
      <c r="D482" s="1310" t="s">
        <v>3133</v>
      </c>
      <c r="E482" s="1310" t="s">
        <v>3042</v>
      </c>
      <c r="F482" s="1310" t="s">
        <v>1952</v>
      </c>
      <c r="G482" s="1323">
        <v>3</v>
      </c>
      <c r="H482" s="486" t="e">
        <f t="array" aca="1" ref="H482" ca="1">+_xludf.IFS(E482="100% Presencial",1, E482="20% Teletrabajo (4 días a la semana)",0.8,E482="40% Teletrabajo (3 días a la semana)",0.6,E482="60% Teletrabajo (2 días a la semana)",0.4,E482="80% Teletrabajo (1 día a la semana)",0.2,E482="100% Teletrabajo",0)</f>
        <v>#NAME?</v>
      </c>
      <c r="I482" s="486" t="e">
        <f t="array" aca="1" ref="I482" ca="1">+_xludf.IFS(F482="Vehículo - Uso individual","Auto",F482="Vehículo - Uso compartido","Auto",F482="Transporte público/bus de acercamiento","Bus",F482="Moto","Moto",F482="Bicicleta o caminando","Bicicleta",F482="Ninguno, pues realicé 100% teletrabajo","No aplica",F482="Moto eléctrica","Moto eléctrica",F482="Vehículo eléctrico - Uso Individual","Vehículo eléctrico",F482="Vehículo eléctrico - Uso Compartido","Vehículo eléctrico")</f>
        <v>#NAME?</v>
      </c>
      <c r="J482" s="486">
        <v>1</v>
      </c>
      <c r="K482" s="1324" t="e">
        <f t="shared" ca="1" si="3"/>
        <v>#NAME?</v>
      </c>
      <c r="L482" s="1325">
        <f ca="1">+IFERROR(VLOOKUP(I482,'Factores Emisión EDGE'!$K$267:$L$272,2,0),0)</f>
        <v>0</v>
      </c>
      <c r="M482" s="1325" t="e">
        <f t="shared" ca="1" si="4"/>
        <v>#NAME?</v>
      </c>
      <c r="N482" s="486" t="s">
        <v>3056</v>
      </c>
      <c r="O482" s="1312"/>
      <c r="P482" s="1312"/>
    </row>
    <row r="483" spans="1:16" ht="15.75" customHeight="1">
      <c r="A483" s="1314">
        <v>44939.445658518518</v>
      </c>
      <c r="B483" s="1310" t="s">
        <v>3748</v>
      </c>
      <c r="C483" s="1310" t="s">
        <v>2713</v>
      </c>
      <c r="D483" s="1310" t="s">
        <v>3054</v>
      </c>
      <c r="E483" s="1310" t="s">
        <v>883</v>
      </c>
      <c r="F483" s="1310" t="s">
        <v>3055</v>
      </c>
      <c r="G483" s="1323">
        <v>3</v>
      </c>
      <c r="H483" s="486" t="e">
        <f t="array" aca="1" ref="H483" ca="1">+_xludf.IFS(E483="100% Presencial",1, E483="20% Teletrabajo (4 días a la semana)",0.8,E483="40% Teletrabajo (3 días a la semana)",0.6,E483="60% Teletrabajo (2 días a la semana)",0.4,E483="80% Teletrabajo (1 día a la semana)",0.2,E483="100% Teletrabajo",0)</f>
        <v>#NAME?</v>
      </c>
      <c r="I483" s="486" t="e">
        <f t="array" aca="1" ref="I483" ca="1">+_xludf.IFS(F483="Vehículo - Uso individual","Auto",F483="Vehículo - Uso compartido","Auto",F483="Transporte público/bus de acercamiento","Bus",F483="Moto","Moto",F483="Bicicleta o caminando","Bicicleta",F483="Ninguno, pues realicé 100% teletrabajo","No aplica",F483="Moto eléctrica","Moto eléctrica",F483="Vehículo eléctrico - Uso Individual","Vehículo eléctrico",F483="Vehículo eléctrico - Uso Compartido","Vehículo eléctrico")</f>
        <v>#NAME?</v>
      </c>
      <c r="J483" s="486">
        <v>1</v>
      </c>
      <c r="K483" s="1324" t="e">
        <f t="shared" ca="1" si="3"/>
        <v>#NAME?</v>
      </c>
      <c r="L483" s="1325">
        <f ca="1">+IFERROR(VLOOKUP(I483,'Factores Emisión EDGE'!$K$267:$L$272,2,0),0)</f>
        <v>0</v>
      </c>
      <c r="M483" s="1325" t="e">
        <f t="shared" ca="1" si="4"/>
        <v>#NAME?</v>
      </c>
      <c r="N483" s="486" t="s">
        <v>3043</v>
      </c>
      <c r="O483" s="1312"/>
      <c r="P483" s="1312"/>
    </row>
    <row r="484" spans="1:16" ht="15.75" customHeight="1">
      <c r="A484" s="1314">
        <v>44929.49720331018</v>
      </c>
      <c r="B484" s="1310" t="s">
        <v>3749</v>
      </c>
      <c r="C484" s="1310" t="s">
        <v>3750</v>
      </c>
      <c r="D484" s="1310" t="s">
        <v>3048</v>
      </c>
      <c r="E484" s="1310" t="s">
        <v>3042</v>
      </c>
      <c r="F484" s="1310" t="s">
        <v>863</v>
      </c>
      <c r="G484" s="1323">
        <v>2.9</v>
      </c>
      <c r="H484" s="486" t="e">
        <f t="array" aca="1" ref="H484" ca="1">+_xludf.IFS(E484="100% Presencial",1, E484="20% Teletrabajo (4 días a la semana)",0.8,E484="40% Teletrabajo (3 días a la semana)",0.6,E484="60% Teletrabajo (2 días a la semana)",0.4,E484="80% Teletrabajo (1 día a la semana)",0.2,E484="100% Teletrabajo",0)</f>
        <v>#NAME?</v>
      </c>
      <c r="I484" s="486" t="e">
        <f t="array" aca="1" ref="I484" ca="1">+_xludf.IFS(F484="Vehículo - Uso individual","Auto",F484="Vehículo - Uso compartido","Auto",F484="Transporte público/bus de acercamiento","Bus",F484="Moto","Moto",F484="Bicicleta o caminando","Bicicleta",F484="Ninguno, pues realicé 100% teletrabajo","No aplica",F484="Moto eléctrica","Moto eléctrica",F484="Vehículo eléctrico - Uso Individual","Vehículo eléctrico",F484="Vehículo eléctrico - Uso Compartido","Vehículo eléctrico")</f>
        <v>#NAME?</v>
      </c>
      <c r="J484" s="486">
        <v>1</v>
      </c>
      <c r="K484" s="1324" t="e">
        <f t="shared" ca="1" si="3"/>
        <v>#NAME?</v>
      </c>
      <c r="L484" s="1325">
        <f ca="1">+IFERROR(VLOOKUP(I484,'Factores Emisión EDGE'!$K$267:$L$272,2,0),0)</f>
        <v>0</v>
      </c>
      <c r="M484" s="1325" t="e">
        <f t="shared" ca="1" si="4"/>
        <v>#NAME?</v>
      </c>
      <c r="N484" s="486" t="s">
        <v>3043</v>
      </c>
      <c r="O484" s="1312"/>
      <c r="P484" s="1312"/>
    </row>
    <row r="485" spans="1:16" ht="15.75" customHeight="1">
      <c r="A485" s="1314">
        <v>44938.575389108795</v>
      </c>
      <c r="B485" s="1310" t="s">
        <v>3751</v>
      </c>
      <c r="C485" s="486" t="s">
        <v>3752</v>
      </c>
      <c r="D485" s="1310" t="s">
        <v>3292</v>
      </c>
      <c r="E485" s="1310" t="s">
        <v>3042</v>
      </c>
      <c r="F485" s="1310" t="s">
        <v>3055</v>
      </c>
      <c r="G485" s="1323">
        <v>2.7</v>
      </c>
      <c r="H485" s="486" t="e">
        <f t="array" aca="1" ref="H485" ca="1">+_xludf.IFS(E485="100% Presencial",1, E485="20% Teletrabajo (4 días a la semana)",0.8,E485="40% Teletrabajo (3 días a la semana)",0.6,E485="60% Teletrabajo (2 días a la semana)",0.4,E485="80% Teletrabajo (1 día a la semana)",0.2,E485="100% Teletrabajo",0)</f>
        <v>#NAME?</v>
      </c>
      <c r="I485" s="486" t="e">
        <f t="array" aca="1" ref="I485" ca="1">+_xludf.IFS(F485="Vehículo - Uso individual","Auto",F485="Vehículo - Uso compartido","Auto",F485="Transporte público/bus de acercamiento","Bus",F485="Moto","Moto",F485="Bicicleta o caminando","Bicicleta",F485="Ninguno, pues realicé 100% teletrabajo","No aplica",F485="Moto eléctrica","Moto eléctrica",F485="Vehículo eléctrico - Uso Individual","Vehículo eléctrico",F485="Vehículo eléctrico - Uso Compartido","Vehículo eléctrico")</f>
        <v>#NAME?</v>
      </c>
      <c r="J485" s="486">
        <v>1</v>
      </c>
      <c r="K485" s="1324" t="e">
        <f t="shared" ca="1" si="3"/>
        <v>#NAME?</v>
      </c>
      <c r="L485" s="1325">
        <f ca="1">+IFERROR(VLOOKUP(I485,'Factores Emisión EDGE'!$K$267:$L$272,2,0),0)</f>
        <v>0</v>
      </c>
      <c r="M485" s="1325" t="e">
        <f t="shared" ca="1" si="4"/>
        <v>#NAME?</v>
      </c>
      <c r="N485" s="486" t="s">
        <v>3056</v>
      </c>
      <c r="O485" s="1312"/>
      <c r="P485" s="1312"/>
    </row>
    <row r="486" spans="1:16" ht="15.75" customHeight="1">
      <c r="A486" s="1314">
        <v>44931.415961030092</v>
      </c>
      <c r="B486" s="1310" t="s">
        <v>3753</v>
      </c>
      <c r="C486" s="1310" t="s">
        <v>3754</v>
      </c>
      <c r="D486" s="1310" t="s">
        <v>3083</v>
      </c>
      <c r="E486" s="1310" t="s">
        <v>3042</v>
      </c>
      <c r="F486" s="1310" t="s">
        <v>1983</v>
      </c>
      <c r="G486" s="1323">
        <v>2.5</v>
      </c>
      <c r="H486" s="486" t="e">
        <f t="array" aca="1" ref="H486" ca="1">+_xludf.IFS(E486="100% Presencial",1, E486="20% Teletrabajo (4 días a la semana)",0.8,E486="40% Teletrabajo (3 días a la semana)",0.6,E486="60% Teletrabajo (2 días a la semana)",0.4,E486="80% Teletrabajo (1 día a la semana)",0.2,E486="100% Teletrabajo",0)</f>
        <v>#NAME?</v>
      </c>
      <c r="I486" s="486" t="e">
        <f t="array" aca="1" ref="I486" ca="1">+_xludf.IFS(F486="Vehículo - Uso individual","Auto",F486="Vehículo - Uso compartido","Auto",F486="Transporte público/bus de acercamiento","Bus",F486="Moto","Moto",F486="Bicicleta o caminando","Bicicleta",F486="Ninguno, pues realicé 100% teletrabajo","No aplica",F486="Moto eléctrica","Moto eléctrica",F486="Vehículo eléctrico - Uso Individual","Vehículo eléctrico",F486="Vehículo eléctrico - Uso Compartido","Vehículo eléctrico")</f>
        <v>#NAME?</v>
      </c>
      <c r="J486" s="486">
        <v>1</v>
      </c>
      <c r="K486" s="1324" t="e">
        <f t="shared" ca="1" si="3"/>
        <v>#NAME?</v>
      </c>
      <c r="L486" s="1325">
        <f ca="1">+IFERROR(VLOOKUP(I486,'Factores Emisión EDGE'!$K$267:$L$272,2,0),0)</f>
        <v>0</v>
      </c>
      <c r="M486" s="1325" t="e">
        <f t="shared" ca="1" si="4"/>
        <v>#NAME?</v>
      </c>
      <c r="N486" s="486" t="s">
        <v>3056</v>
      </c>
      <c r="O486" s="1312"/>
      <c r="P486" s="1312"/>
    </row>
    <row r="487" spans="1:16" ht="15.75" customHeight="1">
      <c r="A487" s="1314">
        <v>44930.329037847223</v>
      </c>
      <c r="B487" s="1310" t="s">
        <v>2113</v>
      </c>
      <c r="C487" s="1310" t="s">
        <v>2114</v>
      </c>
      <c r="D487" s="1310" t="s">
        <v>3107</v>
      </c>
      <c r="E487" s="1310" t="s">
        <v>3042</v>
      </c>
      <c r="F487" s="1310" t="s">
        <v>1952</v>
      </c>
      <c r="G487" s="1323">
        <v>2.5</v>
      </c>
      <c r="H487" s="486" t="e">
        <f t="array" aca="1" ref="H487" ca="1">+_xludf.IFS(E487="100% Presencial",1, E487="20% Teletrabajo (4 días a la semana)",0.8,E487="40% Teletrabajo (3 días a la semana)",0.6,E487="60% Teletrabajo (2 días a la semana)",0.4,E487="80% Teletrabajo (1 día a la semana)",0.2,E487="100% Teletrabajo",0)</f>
        <v>#NAME?</v>
      </c>
      <c r="I487" s="486" t="e">
        <f t="array" aca="1" ref="I487" ca="1">+_xludf.IFS(F487="Vehículo - Uso individual","Auto",F487="Vehículo - Uso compartido","Auto",F487="Transporte público/bus de acercamiento","Bus",F487="Moto","Moto",F487="Bicicleta o caminando","Bicicleta",F487="Ninguno, pues realicé 100% teletrabajo","No aplica",F487="Moto eléctrica","Moto eléctrica",F487="Vehículo eléctrico - Uso Individual","Vehículo eléctrico",F487="Vehículo eléctrico - Uso Compartido","Vehículo eléctrico")</f>
        <v>#NAME?</v>
      </c>
      <c r="J487" s="486">
        <v>1</v>
      </c>
      <c r="K487" s="1324" t="e">
        <f t="shared" ca="1" si="3"/>
        <v>#NAME?</v>
      </c>
      <c r="L487" s="1325">
        <f ca="1">+IFERROR(VLOOKUP(I487,'Factores Emisión EDGE'!$K$267:$L$272,2,0),0)</f>
        <v>0</v>
      </c>
      <c r="M487" s="1325" t="e">
        <f t="shared" ca="1" si="4"/>
        <v>#NAME?</v>
      </c>
      <c r="N487" s="486" t="s">
        <v>3043</v>
      </c>
      <c r="O487" s="1312"/>
      <c r="P487" s="1312"/>
    </row>
    <row r="488" spans="1:16" ht="15.75" customHeight="1">
      <c r="A488" s="1314">
        <v>44938.603070254627</v>
      </c>
      <c r="B488" s="1310" t="s">
        <v>3755</v>
      </c>
      <c r="C488" s="1310" t="s">
        <v>3756</v>
      </c>
      <c r="D488" s="1310" t="s">
        <v>3107</v>
      </c>
      <c r="E488" s="1310" t="s">
        <v>3042</v>
      </c>
      <c r="F488" s="1310" t="s">
        <v>1952</v>
      </c>
      <c r="G488" s="1323">
        <v>2.5</v>
      </c>
      <c r="H488" s="486" t="e">
        <f t="array" aca="1" ref="H488" ca="1">+_xludf.IFS(E488="100% Presencial",1, E488="20% Teletrabajo (4 días a la semana)",0.8,E488="40% Teletrabajo (3 días a la semana)",0.6,E488="60% Teletrabajo (2 días a la semana)",0.4,E488="80% Teletrabajo (1 día a la semana)",0.2,E488="100% Teletrabajo",0)</f>
        <v>#NAME?</v>
      </c>
      <c r="I488" s="486" t="e">
        <f t="array" aca="1" ref="I488" ca="1">+_xludf.IFS(F488="Vehículo - Uso individual","Auto",F488="Vehículo - Uso compartido","Auto",F488="Transporte público/bus de acercamiento","Bus",F488="Moto","Moto",F488="Bicicleta o caminando","Bicicleta",F488="Ninguno, pues realicé 100% teletrabajo","No aplica",F488="Moto eléctrica","Moto eléctrica",F488="Vehículo eléctrico - Uso Individual","Vehículo eléctrico",F488="Vehículo eléctrico - Uso Compartido","Vehículo eléctrico")</f>
        <v>#NAME?</v>
      </c>
      <c r="J488" s="486">
        <v>1</v>
      </c>
      <c r="K488" s="1324" t="e">
        <f t="shared" ca="1" si="3"/>
        <v>#NAME?</v>
      </c>
      <c r="L488" s="1325">
        <f ca="1">+IFERROR(VLOOKUP(I488,'Factores Emisión EDGE'!$K$267:$L$272,2,0),0)</f>
        <v>0</v>
      </c>
      <c r="M488" s="1325" t="e">
        <f t="shared" ca="1" si="4"/>
        <v>#NAME?</v>
      </c>
      <c r="N488" s="486" t="s">
        <v>3056</v>
      </c>
      <c r="O488" s="1312"/>
      <c r="P488" s="1312"/>
    </row>
    <row r="489" spans="1:16" ht="15.75" customHeight="1">
      <c r="A489" s="1314">
        <v>44939.427680439811</v>
      </c>
      <c r="B489" s="1310" t="s">
        <v>3757</v>
      </c>
      <c r="C489" s="1310" t="s">
        <v>3758</v>
      </c>
      <c r="D489" s="1310" t="s">
        <v>3046</v>
      </c>
      <c r="E489" s="1310" t="s">
        <v>3042</v>
      </c>
      <c r="F489" s="1310" t="s">
        <v>863</v>
      </c>
      <c r="G489" s="1323">
        <v>2.5</v>
      </c>
      <c r="H489" s="486" t="e">
        <f t="array" aca="1" ref="H489" ca="1">+_xludf.IFS(E489="100% Presencial",1, E489="20% Teletrabajo (4 días a la semana)",0.8,E489="40% Teletrabajo (3 días a la semana)",0.6,E489="60% Teletrabajo (2 días a la semana)",0.4,E489="80% Teletrabajo (1 día a la semana)",0.2,E489="100% Teletrabajo",0)</f>
        <v>#NAME?</v>
      </c>
      <c r="I489" s="486" t="e">
        <f t="array" aca="1" ref="I489" ca="1">+_xludf.IFS(F489="Vehículo - Uso individual","Auto",F489="Vehículo - Uso compartido","Auto",F489="Transporte público/bus de acercamiento","Bus",F489="Moto","Moto",F489="Bicicleta o caminando","Bicicleta",F489="Ninguno, pues realicé 100% teletrabajo","No aplica",F489="Moto eléctrica","Moto eléctrica",F489="Vehículo eléctrico - Uso Individual","Vehículo eléctrico",F489="Vehículo eléctrico - Uso Compartido","Vehículo eléctrico")</f>
        <v>#NAME?</v>
      </c>
      <c r="J489" s="486">
        <v>1</v>
      </c>
      <c r="K489" s="1324" t="e">
        <f t="shared" ca="1" si="3"/>
        <v>#NAME?</v>
      </c>
      <c r="L489" s="1325">
        <f ca="1">+IFERROR(VLOOKUP(I489,'Factores Emisión EDGE'!$K$267:$L$272,2,0),0)</f>
        <v>0</v>
      </c>
      <c r="M489" s="1325" t="e">
        <f t="shared" ca="1" si="4"/>
        <v>#NAME?</v>
      </c>
      <c r="N489" s="486" t="s">
        <v>3043</v>
      </c>
      <c r="O489" s="1312"/>
      <c r="P489" s="1312"/>
    </row>
    <row r="490" spans="1:16" ht="15.75" customHeight="1">
      <c r="A490" s="1314">
        <v>44929.683567152781</v>
      </c>
      <c r="B490" s="1310" t="s">
        <v>2419</v>
      </c>
      <c r="C490" s="1310" t="s">
        <v>2420</v>
      </c>
      <c r="D490" s="1310" t="s">
        <v>3292</v>
      </c>
      <c r="E490" s="1310" t="s">
        <v>3042</v>
      </c>
      <c r="F490" s="1310" t="s">
        <v>3055</v>
      </c>
      <c r="G490" s="1323">
        <v>2.5</v>
      </c>
      <c r="H490" s="486" t="e">
        <f t="array" aca="1" ref="H490" ca="1">+_xludf.IFS(E490="100% Presencial",1, E490="20% Teletrabajo (4 días a la semana)",0.8,E490="40% Teletrabajo (3 días a la semana)",0.6,E490="60% Teletrabajo (2 días a la semana)",0.4,E490="80% Teletrabajo (1 día a la semana)",0.2,E490="100% Teletrabajo",0)</f>
        <v>#NAME?</v>
      </c>
      <c r="I490" s="486" t="e">
        <f t="array" aca="1" ref="I490" ca="1">+_xludf.IFS(F490="Vehículo - Uso individual","Auto",F490="Vehículo - Uso compartido","Auto",F490="Transporte público/bus de acercamiento","Bus",F490="Moto","Moto",F490="Bicicleta o caminando","Bicicleta",F490="Ninguno, pues realicé 100% teletrabajo","No aplica",F490="Moto eléctrica","Moto eléctrica",F490="Vehículo eléctrico - Uso Individual","Vehículo eléctrico",F490="Vehículo eléctrico - Uso Compartido","Vehículo eléctrico")</f>
        <v>#NAME?</v>
      </c>
      <c r="J490" s="486">
        <v>1</v>
      </c>
      <c r="K490" s="1324" t="e">
        <f t="shared" ca="1" si="3"/>
        <v>#NAME?</v>
      </c>
      <c r="L490" s="1325">
        <f ca="1">+IFERROR(VLOOKUP(I490,'Factores Emisión EDGE'!$K$267:$L$272,2,0),0)</f>
        <v>0</v>
      </c>
      <c r="M490" s="1325" t="e">
        <f t="shared" ca="1" si="4"/>
        <v>#NAME?</v>
      </c>
      <c r="N490" s="486" t="s">
        <v>3043</v>
      </c>
      <c r="O490" s="1312"/>
      <c r="P490" s="1312"/>
    </row>
    <row r="491" spans="1:16" ht="15.75" customHeight="1">
      <c r="A491" s="1314">
        <v>44936.713308773149</v>
      </c>
      <c r="B491" s="1310" t="s">
        <v>3759</v>
      </c>
      <c r="C491" s="1310" t="s">
        <v>3760</v>
      </c>
      <c r="D491" s="1310" t="s">
        <v>3063</v>
      </c>
      <c r="E491" s="1310" t="s">
        <v>3042</v>
      </c>
      <c r="F491" s="1310" t="s">
        <v>1995</v>
      </c>
      <c r="G491" s="1323">
        <v>2.5</v>
      </c>
      <c r="H491" s="486" t="e">
        <f t="array" aca="1" ref="H491" ca="1">+_xludf.IFS(E491="100% Presencial",1, E491="20% Teletrabajo (4 días a la semana)",0.8,E491="40% Teletrabajo (3 días a la semana)",0.6,E491="60% Teletrabajo (2 días a la semana)",0.4,E491="80% Teletrabajo (1 día a la semana)",0.2,E491="100% Teletrabajo",0)</f>
        <v>#NAME?</v>
      </c>
      <c r="I491" s="486" t="e">
        <f t="array" aca="1" ref="I491" ca="1">+_xludf.IFS(F491="Vehículo - Uso individual","Auto",F491="Vehículo - Uso compartido","Auto",F491="Transporte público/bus de acercamiento","Bus",F491="Moto","Moto",F491="Bicicleta o caminando","Bicicleta",F491="Ninguno, pues realicé 100% teletrabajo","No aplica",F491="Moto eléctrica","Moto eléctrica",F491="Vehículo eléctrico - Uso Individual","Vehículo eléctrico",F491="Vehículo eléctrico - Uso Compartido","Vehículo eléctrico")</f>
        <v>#NAME?</v>
      </c>
      <c r="J491" s="486">
        <v>0.25</v>
      </c>
      <c r="K491" s="1324" t="e">
        <f t="shared" ca="1" si="3"/>
        <v>#NAME?</v>
      </c>
      <c r="L491" s="1325">
        <f ca="1">+IFERROR(VLOOKUP(I491,'Factores Emisión EDGE'!$K$267:$L$272,2,0),0)</f>
        <v>0</v>
      </c>
      <c r="M491" s="1325" t="e">
        <f t="shared" ca="1" si="4"/>
        <v>#NAME?</v>
      </c>
      <c r="N491" s="486" t="s">
        <v>3056</v>
      </c>
      <c r="O491" s="1312"/>
      <c r="P491" s="1312"/>
    </row>
    <row r="492" spans="1:16" ht="15.75" customHeight="1">
      <c r="A492" s="1314">
        <v>44930.474710682873</v>
      </c>
      <c r="B492" s="1310" t="s">
        <v>2905</v>
      </c>
      <c r="C492" s="1310" t="s">
        <v>2906</v>
      </c>
      <c r="D492" s="1310" t="s">
        <v>3063</v>
      </c>
      <c r="E492" s="1310" t="s">
        <v>3042</v>
      </c>
      <c r="F492" s="1310" t="s">
        <v>1995</v>
      </c>
      <c r="G492" s="1323">
        <v>2.2999999999999998</v>
      </c>
      <c r="H492" s="486" t="e">
        <f t="array" aca="1" ref="H492" ca="1">+_xludf.IFS(E492="100% Presencial",1, E492="20% Teletrabajo (4 días a la semana)",0.8,E492="40% Teletrabajo (3 días a la semana)",0.6,E492="60% Teletrabajo (2 días a la semana)",0.4,E492="80% Teletrabajo (1 día a la semana)",0.2,E492="100% Teletrabajo",0)</f>
        <v>#NAME?</v>
      </c>
      <c r="I492" s="486" t="e">
        <f t="array" aca="1" ref="I492" ca="1">+_xludf.IFS(F492="Vehículo - Uso individual","Auto",F492="Vehículo - Uso compartido","Auto",F492="Transporte público/bus de acercamiento","Bus",F492="Moto","Moto",F492="Bicicleta o caminando","Bicicleta",F492="Ninguno, pues realicé 100% teletrabajo","No aplica",F492="Moto eléctrica","Moto eléctrica",F492="Vehículo eléctrico - Uso Individual","Vehículo eléctrico",F492="Vehículo eléctrico - Uso Compartido","Vehículo eléctrico")</f>
        <v>#NAME?</v>
      </c>
      <c r="J492" s="486">
        <v>0.25</v>
      </c>
      <c r="K492" s="1324" t="e">
        <f t="shared" ca="1" si="3"/>
        <v>#NAME?</v>
      </c>
      <c r="L492" s="1325">
        <f ca="1">+IFERROR(VLOOKUP(I492,'Factores Emisión EDGE'!$K$267:$L$272,2,0),0)</f>
        <v>0</v>
      </c>
      <c r="M492" s="1325" t="e">
        <f t="shared" ca="1" si="4"/>
        <v>#NAME?</v>
      </c>
      <c r="N492" s="486" t="s">
        <v>3056</v>
      </c>
      <c r="O492" s="1312"/>
      <c r="P492" s="1312"/>
    </row>
    <row r="493" spans="1:16" ht="15.75" customHeight="1">
      <c r="A493" s="1314">
        <v>44938.611789108792</v>
      </c>
      <c r="B493" s="1310" t="s">
        <v>3761</v>
      </c>
      <c r="C493" s="1310" t="s">
        <v>3762</v>
      </c>
      <c r="D493" s="1310" t="s">
        <v>3048</v>
      </c>
      <c r="E493" s="1310" t="s">
        <v>3042</v>
      </c>
      <c r="F493" s="1310" t="s">
        <v>1983</v>
      </c>
      <c r="G493" s="1323">
        <v>2.1</v>
      </c>
      <c r="H493" s="486" t="e">
        <f t="array" aca="1" ref="H493" ca="1">+_xludf.IFS(E493="100% Presencial",1, E493="20% Teletrabajo (4 días a la semana)",0.8,E493="40% Teletrabajo (3 días a la semana)",0.6,E493="60% Teletrabajo (2 días a la semana)",0.4,E493="80% Teletrabajo (1 día a la semana)",0.2,E493="100% Teletrabajo",0)</f>
        <v>#NAME?</v>
      </c>
      <c r="I493" s="486" t="e">
        <f t="array" aca="1" ref="I493" ca="1">+_xludf.IFS(F493="Vehículo - Uso individual","Auto",F493="Vehículo - Uso compartido","Auto",F493="Transporte público/bus de acercamiento","Bus",F493="Moto","Moto",F493="Bicicleta o caminando","Bicicleta",F493="Ninguno, pues realicé 100% teletrabajo","No aplica",F493="Moto eléctrica","Moto eléctrica",F493="Vehículo eléctrico - Uso Individual","Vehículo eléctrico",F493="Vehículo eléctrico - Uso Compartido","Vehículo eléctrico")</f>
        <v>#NAME?</v>
      </c>
      <c r="J493" s="486">
        <v>1</v>
      </c>
      <c r="K493" s="1324" t="e">
        <f t="shared" ca="1" si="3"/>
        <v>#NAME?</v>
      </c>
      <c r="L493" s="1325">
        <f ca="1">+IFERROR(VLOOKUP(I493,'Factores Emisión EDGE'!$K$267:$L$272,2,0),0)</f>
        <v>0</v>
      </c>
      <c r="M493" s="1325" t="e">
        <f t="shared" ca="1" si="4"/>
        <v>#NAME?</v>
      </c>
      <c r="N493" s="486" t="s">
        <v>3056</v>
      </c>
      <c r="O493" s="1312"/>
      <c r="P493" s="1312"/>
    </row>
    <row r="494" spans="1:16" ht="15.75" customHeight="1">
      <c r="A494" s="1314">
        <v>44939.35323375</v>
      </c>
      <c r="B494" s="1310" t="s">
        <v>3763</v>
      </c>
      <c r="C494" s="1310" t="s">
        <v>3764</v>
      </c>
      <c r="D494" s="1310" t="s">
        <v>3063</v>
      </c>
      <c r="E494" s="1310" t="s">
        <v>3042</v>
      </c>
      <c r="F494" s="1310" t="s">
        <v>1952</v>
      </c>
      <c r="G494" s="1323">
        <v>2</v>
      </c>
      <c r="H494" s="486" t="e">
        <f t="array" aca="1" ref="H494" ca="1">+_xludf.IFS(E494="100% Presencial",1, E494="20% Teletrabajo (4 días a la semana)",0.8,E494="40% Teletrabajo (3 días a la semana)",0.6,E494="60% Teletrabajo (2 días a la semana)",0.4,E494="80% Teletrabajo (1 día a la semana)",0.2,E494="100% Teletrabajo",0)</f>
        <v>#NAME?</v>
      </c>
      <c r="I494" s="486" t="e">
        <f t="array" aca="1" ref="I494" ca="1">+_xludf.IFS(F494="Vehículo - Uso individual","Auto",F494="Vehículo - Uso compartido","Auto",F494="Transporte público/bus de acercamiento","Bus",F494="Moto","Moto",F494="Bicicleta o caminando","Bicicleta",F494="Ninguno, pues realicé 100% teletrabajo","No aplica",F494="Moto eléctrica","Moto eléctrica",F494="Vehículo eléctrico - Uso Individual","Vehículo eléctrico",F494="Vehículo eléctrico - Uso Compartido","Vehículo eléctrico")</f>
        <v>#NAME?</v>
      </c>
      <c r="J494" s="486">
        <v>1</v>
      </c>
      <c r="K494" s="1324" t="e">
        <f t="shared" ca="1" si="3"/>
        <v>#NAME?</v>
      </c>
      <c r="L494" s="1325">
        <f ca="1">+IFERROR(VLOOKUP(I494,'Factores Emisión EDGE'!$K$267:$L$272,2,0),0)</f>
        <v>0</v>
      </c>
      <c r="M494" s="1325" t="e">
        <f t="shared" ca="1" si="4"/>
        <v>#NAME?</v>
      </c>
      <c r="N494" s="486" t="s">
        <v>3056</v>
      </c>
      <c r="O494" s="1312"/>
      <c r="P494" s="1312"/>
    </row>
    <row r="495" spans="1:16" ht="15.75" customHeight="1">
      <c r="A495" s="1314">
        <v>44938.866593668979</v>
      </c>
      <c r="B495" s="1310" t="s">
        <v>3765</v>
      </c>
      <c r="C495" s="1310" t="s">
        <v>3766</v>
      </c>
      <c r="D495" s="1310" t="s">
        <v>3048</v>
      </c>
      <c r="E495" s="1310" t="s">
        <v>3042</v>
      </c>
      <c r="F495" s="1310" t="s">
        <v>866</v>
      </c>
      <c r="G495" s="1323">
        <v>2</v>
      </c>
      <c r="H495" s="486" t="e">
        <f t="array" aca="1" ref="H495" ca="1">+_xludf.IFS(E495="100% Presencial",1, E495="20% Teletrabajo (4 días a la semana)",0.8,E495="40% Teletrabajo (3 días a la semana)",0.6,E495="60% Teletrabajo (2 días a la semana)",0.4,E495="80% Teletrabajo (1 día a la semana)",0.2,E495="100% Teletrabajo",0)</f>
        <v>#NAME?</v>
      </c>
      <c r="I495" s="486" t="e">
        <f t="array" aca="1" ref="I495" ca="1">+_xludf.IFS(F495="Vehículo - Uso individual","Auto",F495="Vehículo - Uso compartido","Auto",F495="Transporte público/bus de acercamiento","Bus",F495="Moto","Moto",F495="Bicicleta o caminando","Bicicleta",F495="Ninguno, pues realicé 100% teletrabajo","No aplica",F495="Moto eléctrica","Moto eléctrica",F495="Vehículo eléctrico - Uso Individual","Vehículo eléctrico",F495="Vehículo eléctrico - Uso Compartido","Vehículo eléctrico")</f>
        <v>#NAME?</v>
      </c>
      <c r="J495" s="486">
        <v>1</v>
      </c>
      <c r="K495" s="1324" t="e">
        <f t="shared" ca="1" si="3"/>
        <v>#NAME?</v>
      </c>
      <c r="L495" s="1325">
        <f ca="1">+IFERROR(VLOOKUP(I495,'Factores Emisión EDGE'!$K$267:$L$272,2,0),0)</f>
        <v>0</v>
      </c>
      <c r="M495" s="1325" t="e">
        <f t="shared" ca="1" si="4"/>
        <v>#NAME?</v>
      </c>
      <c r="N495" s="486" t="s">
        <v>3056</v>
      </c>
      <c r="O495" s="1312"/>
      <c r="P495" s="1312"/>
    </row>
    <row r="496" spans="1:16" ht="15.75" customHeight="1">
      <c r="A496" s="1314">
        <v>44938.863749108801</v>
      </c>
      <c r="B496" s="1310" t="s">
        <v>3765</v>
      </c>
      <c r="C496" s="1310" t="s">
        <v>3766</v>
      </c>
      <c r="D496" s="1310" t="s">
        <v>3048</v>
      </c>
      <c r="E496" s="1310" t="s">
        <v>3042</v>
      </c>
      <c r="F496" s="1310" t="s">
        <v>866</v>
      </c>
      <c r="G496" s="1323">
        <v>2</v>
      </c>
      <c r="H496" s="486" t="e">
        <f t="array" aca="1" ref="H496" ca="1">+_xludf.IFS(E496="100% Presencial",1, E496="20% Teletrabajo (4 días a la semana)",0.8,E496="40% Teletrabajo (3 días a la semana)",0.6,E496="60% Teletrabajo (2 días a la semana)",0.4,E496="80% Teletrabajo (1 día a la semana)",0.2,E496="100% Teletrabajo",0)</f>
        <v>#NAME?</v>
      </c>
      <c r="I496" s="486" t="e">
        <f t="array" aca="1" ref="I496" ca="1">+_xludf.IFS(F496="Vehículo - Uso individual","Auto",F496="Vehículo - Uso compartido","Auto",F496="Transporte público/bus de acercamiento","Bus",F496="Moto","Moto",F496="Bicicleta o caminando","Bicicleta",F496="Ninguno, pues realicé 100% teletrabajo","No aplica",F496="Moto eléctrica","Moto eléctrica",F496="Vehículo eléctrico - Uso Individual","Vehículo eléctrico",F496="Vehículo eléctrico - Uso Compartido","Vehículo eléctrico")</f>
        <v>#NAME?</v>
      </c>
      <c r="J496" s="486">
        <v>1</v>
      </c>
      <c r="K496" s="1324" t="e">
        <f t="shared" ca="1" si="3"/>
        <v>#NAME?</v>
      </c>
      <c r="L496" s="1325">
        <f ca="1">+IFERROR(VLOOKUP(I496,'Factores Emisión EDGE'!$K$267:$L$272,2,0),0)</f>
        <v>0</v>
      </c>
      <c r="M496" s="1325" t="e">
        <f t="shared" ca="1" si="4"/>
        <v>#NAME?</v>
      </c>
      <c r="N496" s="486" t="s">
        <v>3056</v>
      </c>
      <c r="O496" s="1312"/>
      <c r="P496" s="1312"/>
    </row>
    <row r="497" spans="1:16" ht="15.75" customHeight="1">
      <c r="A497" s="1314">
        <v>44930.475351620371</v>
      </c>
      <c r="B497" s="1310" t="s">
        <v>2907</v>
      </c>
      <c r="C497" s="1310" t="s">
        <v>3767</v>
      </c>
      <c r="D497" s="1310" t="s">
        <v>3063</v>
      </c>
      <c r="E497" s="1310" t="s">
        <v>3042</v>
      </c>
      <c r="F497" s="1310" t="s">
        <v>1995</v>
      </c>
      <c r="G497" s="1323">
        <v>2</v>
      </c>
      <c r="H497" s="486" t="e">
        <f t="array" aca="1" ref="H497" ca="1">+_xludf.IFS(E497="100% Presencial",1, E497="20% Teletrabajo (4 días a la semana)",0.8,E497="40% Teletrabajo (3 días a la semana)",0.6,E497="60% Teletrabajo (2 días a la semana)",0.4,E497="80% Teletrabajo (1 día a la semana)",0.2,E497="100% Teletrabajo",0)</f>
        <v>#NAME?</v>
      </c>
      <c r="I497" s="486" t="e">
        <f t="array" aca="1" ref="I497" ca="1">+_xludf.IFS(F497="Vehículo - Uso individual","Auto",F497="Vehículo - Uso compartido","Auto",F497="Transporte público/bus de acercamiento","Bus",F497="Moto","Moto",F497="Bicicleta o caminando","Bicicleta",F497="Ninguno, pues realicé 100% teletrabajo","No aplica",F497="Moto eléctrica","Moto eléctrica",F497="Vehículo eléctrico - Uso Individual","Vehículo eléctrico",F497="Vehículo eléctrico - Uso Compartido","Vehículo eléctrico")</f>
        <v>#NAME?</v>
      </c>
      <c r="J497" s="486">
        <v>0.25</v>
      </c>
      <c r="K497" s="1324" t="e">
        <f t="shared" ca="1" si="3"/>
        <v>#NAME?</v>
      </c>
      <c r="L497" s="1325">
        <f ca="1">+IFERROR(VLOOKUP(I497,'Factores Emisión EDGE'!$K$267:$L$272,2,0),0)</f>
        <v>0</v>
      </c>
      <c r="M497" s="1325" t="e">
        <f t="shared" ca="1" si="4"/>
        <v>#NAME?</v>
      </c>
      <c r="N497" s="486" t="s">
        <v>3056</v>
      </c>
      <c r="O497" s="1312"/>
      <c r="P497" s="1312"/>
    </row>
    <row r="498" spans="1:16" ht="15.75" customHeight="1">
      <c r="A498" s="1314">
        <v>44929.684194756948</v>
      </c>
      <c r="B498" s="1310" t="s">
        <v>3768</v>
      </c>
      <c r="C498" s="1310" t="s">
        <v>2441</v>
      </c>
      <c r="D498" s="1310" t="s">
        <v>3292</v>
      </c>
      <c r="E498" s="1310" t="s">
        <v>3042</v>
      </c>
      <c r="F498" s="1310" t="s">
        <v>1983</v>
      </c>
      <c r="G498" s="1323">
        <v>2</v>
      </c>
      <c r="H498" s="486" t="e">
        <f t="array" aca="1" ref="H498" ca="1">+_xludf.IFS(E498="100% Presencial",1, E498="20% Teletrabajo (4 días a la semana)",0.8,E498="40% Teletrabajo (3 días a la semana)",0.6,E498="60% Teletrabajo (2 días a la semana)",0.4,E498="80% Teletrabajo (1 día a la semana)",0.2,E498="100% Teletrabajo",0)</f>
        <v>#NAME?</v>
      </c>
      <c r="I498" s="486" t="e">
        <f t="array" aca="1" ref="I498" ca="1">+_xludf.IFS(F498="Vehículo - Uso individual","Auto",F498="Vehículo - Uso compartido","Auto",F498="Transporte público/bus de acercamiento","Bus",F498="Moto","Moto",F498="Bicicleta o caminando","Bicicleta",F498="Ninguno, pues realicé 100% teletrabajo","No aplica",F498="Moto eléctrica","Moto eléctrica",F498="Vehículo eléctrico - Uso Individual","Vehículo eléctrico",F498="Vehículo eléctrico - Uso Compartido","Vehículo eléctrico")</f>
        <v>#NAME?</v>
      </c>
      <c r="J498" s="486">
        <v>1</v>
      </c>
      <c r="K498" s="1324" t="e">
        <f t="shared" ca="1" si="3"/>
        <v>#NAME?</v>
      </c>
      <c r="L498" s="1325">
        <f ca="1">+IFERROR(VLOOKUP(I498,'Factores Emisión EDGE'!$K$267:$L$272,2,0),0)</f>
        <v>0</v>
      </c>
      <c r="M498" s="1325" t="e">
        <f t="shared" ca="1" si="4"/>
        <v>#NAME?</v>
      </c>
      <c r="N498" s="486" t="s">
        <v>3043</v>
      </c>
      <c r="O498" s="1312"/>
      <c r="P498" s="1312"/>
    </row>
    <row r="499" spans="1:16" ht="15.75" customHeight="1">
      <c r="A499" s="1314">
        <v>44939.544419224534</v>
      </c>
      <c r="B499" s="1310" t="s">
        <v>3769</v>
      </c>
      <c r="C499" s="1310" t="s">
        <v>3770</v>
      </c>
      <c r="D499" s="1310" t="s">
        <v>3292</v>
      </c>
      <c r="E499" s="1310" t="s">
        <v>3042</v>
      </c>
      <c r="F499" s="1310" t="s">
        <v>3055</v>
      </c>
      <c r="G499" s="1323">
        <v>2</v>
      </c>
      <c r="H499" s="486" t="e">
        <f t="array" aca="1" ref="H499" ca="1">+_xludf.IFS(E499="100% Presencial",1, E499="20% Teletrabajo (4 días a la semana)",0.8,E499="40% Teletrabajo (3 días a la semana)",0.6,E499="60% Teletrabajo (2 días a la semana)",0.4,E499="80% Teletrabajo (1 día a la semana)",0.2,E499="100% Teletrabajo",0)</f>
        <v>#NAME?</v>
      </c>
      <c r="I499" s="486" t="e">
        <f t="array" aca="1" ref="I499" ca="1">+_xludf.IFS(F499="Vehículo - Uso individual","Auto",F499="Vehículo - Uso compartido","Auto",F499="Transporte público/bus de acercamiento","Bus",F499="Moto","Moto",F499="Bicicleta o caminando","Bicicleta",F499="Ninguno, pues realicé 100% teletrabajo","No aplica",F499="Moto eléctrica","Moto eléctrica",F499="Vehículo eléctrico - Uso Individual","Vehículo eléctrico",F499="Vehículo eléctrico - Uso Compartido","Vehículo eléctrico")</f>
        <v>#NAME?</v>
      </c>
      <c r="J499" s="486">
        <v>1</v>
      </c>
      <c r="K499" s="1324" t="e">
        <f t="shared" ca="1" si="3"/>
        <v>#NAME?</v>
      </c>
      <c r="L499" s="1325">
        <f ca="1">+IFERROR(VLOOKUP(I499,'Factores Emisión EDGE'!$K$267:$L$272,2,0),0)</f>
        <v>0</v>
      </c>
      <c r="M499" s="1325" t="e">
        <f t="shared" ca="1" si="4"/>
        <v>#NAME?</v>
      </c>
      <c r="N499" s="486" t="s">
        <v>3043</v>
      </c>
      <c r="O499" s="1312"/>
      <c r="P499" s="1312"/>
    </row>
    <row r="500" spans="1:16" ht="15.75" customHeight="1">
      <c r="A500" s="1314">
        <v>44937.882906793981</v>
      </c>
      <c r="B500" s="1310" t="s">
        <v>3771</v>
      </c>
      <c r="C500" s="1310" t="s">
        <v>3772</v>
      </c>
      <c r="D500" s="1310" t="s">
        <v>3133</v>
      </c>
      <c r="E500" s="1310" t="s">
        <v>3042</v>
      </c>
      <c r="F500" s="1310" t="s">
        <v>1983</v>
      </c>
      <c r="G500" s="1323">
        <v>2</v>
      </c>
      <c r="H500" s="486" t="e">
        <f t="array" aca="1" ref="H500" ca="1">+_xludf.IFS(E500="100% Presencial",1, E500="20% Teletrabajo (4 días a la semana)",0.8,E500="40% Teletrabajo (3 días a la semana)",0.6,E500="60% Teletrabajo (2 días a la semana)",0.4,E500="80% Teletrabajo (1 día a la semana)",0.2,E500="100% Teletrabajo",0)</f>
        <v>#NAME?</v>
      </c>
      <c r="I500" s="486" t="e">
        <f t="array" aca="1" ref="I500" ca="1">+_xludf.IFS(F500="Vehículo - Uso individual","Auto",F500="Vehículo - Uso compartido","Auto",F500="Transporte público/bus de acercamiento","Bus",F500="Moto","Moto",F500="Bicicleta o caminando","Bicicleta",F500="Ninguno, pues realicé 100% teletrabajo","No aplica",F500="Moto eléctrica","Moto eléctrica",F500="Vehículo eléctrico - Uso Individual","Vehículo eléctrico",F500="Vehículo eléctrico - Uso Compartido","Vehículo eléctrico")</f>
        <v>#NAME?</v>
      </c>
      <c r="J500" s="486">
        <v>1</v>
      </c>
      <c r="K500" s="1324" t="e">
        <f t="shared" ca="1" si="3"/>
        <v>#NAME?</v>
      </c>
      <c r="L500" s="1325">
        <f ca="1">+IFERROR(VLOOKUP(I500,'Factores Emisión EDGE'!$K$267:$L$272,2,0),0)</f>
        <v>0</v>
      </c>
      <c r="M500" s="1325" t="e">
        <f t="shared" ca="1" si="4"/>
        <v>#NAME?</v>
      </c>
      <c r="N500" s="486" t="s">
        <v>3043</v>
      </c>
      <c r="O500" s="1312"/>
      <c r="P500" s="1312"/>
    </row>
    <row r="501" spans="1:16" ht="15.75" customHeight="1">
      <c r="A501" s="1314">
        <v>44938.630303136575</v>
      </c>
      <c r="B501" s="1310" t="s">
        <v>3773</v>
      </c>
      <c r="C501" s="1310" t="s">
        <v>3774</v>
      </c>
      <c r="D501" s="1310" t="s">
        <v>3107</v>
      </c>
      <c r="E501" s="1310" t="s">
        <v>3042</v>
      </c>
      <c r="F501" s="1310" t="s">
        <v>1983</v>
      </c>
      <c r="G501" s="1323">
        <v>2</v>
      </c>
      <c r="H501" s="486" t="e">
        <f t="array" aca="1" ref="H501" ca="1">+_xludf.IFS(E501="100% Presencial",1, E501="20% Teletrabajo (4 días a la semana)",0.8,E501="40% Teletrabajo (3 días a la semana)",0.6,E501="60% Teletrabajo (2 días a la semana)",0.4,E501="80% Teletrabajo (1 día a la semana)",0.2,E501="100% Teletrabajo",0)</f>
        <v>#NAME?</v>
      </c>
      <c r="I501" s="486" t="e">
        <f t="array" aca="1" ref="I501" ca="1">+_xludf.IFS(F501="Vehículo - Uso individual","Auto",F501="Vehículo - Uso compartido","Auto",F501="Transporte público/bus de acercamiento","Bus",F501="Moto","Moto",F501="Bicicleta o caminando","Bicicleta",F501="Ninguno, pues realicé 100% teletrabajo","No aplica",F501="Moto eléctrica","Moto eléctrica",F501="Vehículo eléctrico - Uso Individual","Vehículo eléctrico",F501="Vehículo eléctrico - Uso Compartido","Vehículo eléctrico")</f>
        <v>#NAME?</v>
      </c>
      <c r="J501" s="486">
        <v>1</v>
      </c>
      <c r="K501" s="1324" t="e">
        <f t="shared" ca="1" si="3"/>
        <v>#NAME?</v>
      </c>
      <c r="L501" s="1325">
        <f ca="1">+IFERROR(VLOOKUP(I501,'Factores Emisión EDGE'!$K$267:$L$272,2,0),0)</f>
        <v>0</v>
      </c>
      <c r="M501" s="1325" t="e">
        <f t="shared" ca="1" si="4"/>
        <v>#NAME?</v>
      </c>
      <c r="N501" s="486" t="s">
        <v>3056</v>
      </c>
      <c r="O501" s="1312"/>
      <c r="P501" s="1312"/>
    </row>
    <row r="502" spans="1:16" ht="15.75" customHeight="1">
      <c r="A502" s="1314">
        <v>44930.550246828701</v>
      </c>
      <c r="B502" s="1310" t="s">
        <v>3775</v>
      </c>
      <c r="C502" s="1310" t="s">
        <v>3776</v>
      </c>
      <c r="D502" s="1310" t="s">
        <v>3048</v>
      </c>
      <c r="E502" s="1310" t="s">
        <v>3042</v>
      </c>
      <c r="F502" s="1310" t="s">
        <v>1952</v>
      </c>
      <c r="G502" s="1323">
        <v>2</v>
      </c>
      <c r="H502" s="486" t="e">
        <f t="array" aca="1" ref="H502" ca="1">+_xludf.IFS(E502="100% Presencial",1, E502="20% Teletrabajo (4 días a la semana)",0.8,E502="40% Teletrabajo (3 días a la semana)",0.6,E502="60% Teletrabajo (2 días a la semana)",0.4,E502="80% Teletrabajo (1 día a la semana)",0.2,E502="100% Teletrabajo",0)</f>
        <v>#NAME?</v>
      </c>
      <c r="I502" s="486" t="e">
        <f t="array" aca="1" ref="I502" ca="1">+_xludf.IFS(F502="Vehículo - Uso individual","Auto",F502="Vehículo - Uso compartido","Auto",F502="Transporte público/bus de acercamiento","Bus",F502="Moto","Moto",F502="Bicicleta o caminando","Bicicleta",F502="Ninguno, pues realicé 100% teletrabajo","No aplica",F502="Moto eléctrica","Moto eléctrica",F502="Vehículo eléctrico - Uso Individual","Vehículo eléctrico",F502="Vehículo eléctrico - Uso Compartido","Vehículo eléctrico")</f>
        <v>#NAME?</v>
      </c>
      <c r="J502" s="486">
        <v>1</v>
      </c>
      <c r="K502" s="1324" t="e">
        <f t="shared" ca="1" si="3"/>
        <v>#NAME?</v>
      </c>
      <c r="L502" s="1325">
        <f ca="1">+IFERROR(VLOOKUP(I502,'Factores Emisión EDGE'!$K$267:$L$272,2,0),0)</f>
        <v>0</v>
      </c>
      <c r="M502" s="1325" t="e">
        <f t="shared" ca="1" si="4"/>
        <v>#NAME?</v>
      </c>
      <c r="N502" s="486" t="s">
        <v>3056</v>
      </c>
      <c r="O502" s="1312"/>
      <c r="P502" s="1312"/>
    </row>
    <row r="503" spans="1:16" ht="15.75" customHeight="1">
      <c r="A503" s="1314">
        <v>44938.69966302083</v>
      </c>
      <c r="B503" s="1310" t="s">
        <v>3777</v>
      </c>
      <c r="C503" s="1310" t="s">
        <v>3778</v>
      </c>
      <c r="D503" s="1310" t="s">
        <v>3080</v>
      </c>
      <c r="E503" s="1310" t="s">
        <v>3042</v>
      </c>
      <c r="F503" s="1310" t="s">
        <v>1952</v>
      </c>
      <c r="G503" s="1323">
        <v>2</v>
      </c>
      <c r="H503" s="486" t="e">
        <f t="array" aca="1" ref="H503" ca="1">+_xludf.IFS(E503="100% Presencial",1, E503="20% Teletrabajo (4 días a la semana)",0.8,E503="40% Teletrabajo (3 días a la semana)",0.6,E503="60% Teletrabajo (2 días a la semana)",0.4,E503="80% Teletrabajo (1 día a la semana)",0.2,E503="100% Teletrabajo",0)</f>
        <v>#NAME?</v>
      </c>
      <c r="I503" s="486" t="e">
        <f t="array" aca="1" ref="I503" ca="1">+_xludf.IFS(F503="Vehículo - Uso individual","Auto",F503="Vehículo - Uso compartido","Auto",F503="Transporte público/bus de acercamiento","Bus",F503="Moto","Moto",F503="Bicicleta o caminando","Bicicleta",F503="Ninguno, pues realicé 100% teletrabajo","No aplica",F503="Moto eléctrica","Moto eléctrica",F503="Vehículo eléctrico - Uso Individual","Vehículo eléctrico",F503="Vehículo eléctrico - Uso Compartido","Vehículo eléctrico")</f>
        <v>#NAME?</v>
      </c>
      <c r="J503" s="486">
        <v>1</v>
      </c>
      <c r="K503" s="1324" t="e">
        <f t="shared" ca="1" si="3"/>
        <v>#NAME?</v>
      </c>
      <c r="L503" s="1325">
        <f ca="1">+IFERROR(VLOOKUP(I503,'Factores Emisión EDGE'!$K$267:$L$272,2,0),0)</f>
        <v>0</v>
      </c>
      <c r="M503" s="1325" t="e">
        <f t="shared" ca="1" si="4"/>
        <v>#NAME?</v>
      </c>
      <c r="N503" s="486" t="s">
        <v>3056</v>
      </c>
      <c r="O503" s="1312"/>
      <c r="P503" s="1312"/>
    </row>
    <row r="504" spans="1:16" ht="15.75" customHeight="1">
      <c r="A504" s="1314">
        <v>44930.47937163194</v>
      </c>
      <c r="B504" s="1310" t="s">
        <v>3779</v>
      </c>
      <c r="C504" s="1310" t="s">
        <v>3780</v>
      </c>
      <c r="D504" s="1310" t="s">
        <v>3265</v>
      </c>
      <c r="E504" s="1310" t="s">
        <v>3042</v>
      </c>
      <c r="F504" s="1310" t="s">
        <v>1952</v>
      </c>
      <c r="G504" s="1323">
        <v>2</v>
      </c>
      <c r="H504" s="486" t="e">
        <f t="array" aca="1" ref="H504" ca="1">+_xludf.IFS(E504="100% Presencial",1, E504="20% Teletrabajo (4 días a la semana)",0.8,E504="40% Teletrabajo (3 días a la semana)",0.6,E504="60% Teletrabajo (2 días a la semana)",0.4,E504="80% Teletrabajo (1 día a la semana)",0.2,E504="100% Teletrabajo",0)</f>
        <v>#NAME?</v>
      </c>
      <c r="I504" s="486" t="e">
        <f t="array" aca="1" ref="I504" ca="1">+_xludf.IFS(F504="Vehículo - Uso individual","Auto",F504="Vehículo - Uso compartido","Auto",F504="Transporte público/bus de acercamiento","Bus",F504="Moto","Moto",F504="Bicicleta o caminando","Bicicleta",F504="Ninguno, pues realicé 100% teletrabajo","No aplica",F504="Moto eléctrica","Moto eléctrica",F504="Vehículo eléctrico - Uso Individual","Vehículo eléctrico",F504="Vehículo eléctrico - Uso Compartido","Vehículo eléctrico")</f>
        <v>#NAME?</v>
      </c>
      <c r="J504" s="486">
        <v>1</v>
      </c>
      <c r="K504" s="1324" t="e">
        <f t="shared" ca="1" si="3"/>
        <v>#NAME?</v>
      </c>
      <c r="L504" s="1325">
        <f ca="1">+IFERROR(VLOOKUP(I504,'Factores Emisión EDGE'!$K$267:$L$272,2,0),0)</f>
        <v>0</v>
      </c>
      <c r="M504" s="1325" t="e">
        <f t="shared" ca="1" si="4"/>
        <v>#NAME?</v>
      </c>
      <c r="N504" s="486" t="s">
        <v>3056</v>
      </c>
      <c r="O504" s="1312"/>
      <c r="P504" s="1312"/>
    </row>
    <row r="505" spans="1:16" ht="15.75" customHeight="1">
      <c r="A505" s="1314">
        <v>44930.562395324072</v>
      </c>
      <c r="B505" s="1310" t="s">
        <v>3781</v>
      </c>
      <c r="C505" s="1310" t="s">
        <v>3782</v>
      </c>
      <c r="D505" s="1310" t="s">
        <v>3046</v>
      </c>
      <c r="E505" s="1310" t="s">
        <v>3042</v>
      </c>
      <c r="F505" s="1310" t="s">
        <v>1995</v>
      </c>
      <c r="G505" s="1323">
        <v>2</v>
      </c>
      <c r="H505" s="486" t="e">
        <f t="array" aca="1" ref="H505" ca="1">+_xludf.IFS(E505="100% Presencial",1, E505="20% Teletrabajo (4 días a la semana)",0.8,E505="40% Teletrabajo (3 días a la semana)",0.6,E505="60% Teletrabajo (2 días a la semana)",0.4,E505="80% Teletrabajo (1 día a la semana)",0.2,E505="100% Teletrabajo",0)</f>
        <v>#NAME?</v>
      </c>
      <c r="I505" s="486" t="e">
        <f t="array" aca="1" ref="I505" ca="1">+_xludf.IFS(F505="Vehículo - Uso individual","Auto",F505="Vehículo - Uso compartido","Auto",F505="Transporte público/bus de acercamiento","Bus",F505="Moto","Moto",F505="Bicicleta o caminando","Bicicleta",F505="Ninguno, pues realicé 100% teletrabajo","No aplica",F505="Moto eléctrica","Moto eléctrica",F505="Vehículo eléctrico - Uso Individual","Vehículo eléctrico",F505="Vehículo eléctrico - Uso Compartido","Vehículo eléctrico")</f>
        <v>#NAME?</v>
      </c>
      <c r="J505" s="486">
        <v>0.25</v>
      </c>
      <c r="K505" s="1324" t="e">
        <f t="shared" ca="1" si="3"/>
        <v>#NAME?</v>
      </c>
      <c r="L505" s="1325">
        <f ca="1">+IFERROR(VLOOKUP(I505,'Factores Emisión EDGE'!$K$267:$L$272,2,0),0)</f>
        <v>0</v>
      </c>
      <c r="M505" s="1325" t="e">
        <f t="shared" ca="1" si="4"/>
        <v>#NAME?</v>
      </c>
      <c r="N505" s="486" t="s">
        <v>3056</v>
      </c>
      <c r="O505" s="1312"/>
      <c r="P505" s="1312"/>
    </row>
    <row r="506" spans="1:16" ht="15.75" customHeight="1">
      <c r="A506" s="1314">
        <v>44938.658444606481</v>
      </c>
      <c r="B506" s="1310" t="s">
        <v>3783</v>
      </c>
      <c r="C506" s="1310" t="s">
        <v>3784</v>
      </c>
      <c r="D506" s="1310" t="s">
        <v>3162</v>
      </c>
      <c r="E506" s="1310" t="s">
        <v>3042</v>
      </c>
      <c r="F506" s="1310" t="s">
        <v>3055</v>
      </c>
      <c r="G506" s="1323">
        <v>2</v>
      </c>
      <c r="H506" s="486" t="e">
        <f t="array" aca="1" ref="H506" ca="1">+_xludf.IFS(E506="100% Presencial",1, E506="20% Teletrabajo (4 días a la semana)",0.8,E506="40% Teletrabajo (3 días a la semana)",0.6,E506="60% Teletrabajo (2 días a la semana)",0.4,E506="80% Teletrabajo (1 día a la semana)",0.2,E506="100% Teletrabajo",0)</f>
        <v>#NAME?</v>
      </c>
      <c r="I506" s="486" t="e">
        <f t="array" aca="1" ref="I506" ca="1">+_xludf.IFS(F506="Vehículo - Uso individual","Auto",F506="Vehículo - Uso compartido","Auto",F506="Transporte público/bus de acercamiento","Bus",F506="Moto","Moto",F506="Bicicleta o caminando","Bicicleta",F506="Ninguno, pues realicé 100% teletrabajo","No aplica",F506="Moto eléctrica","Moto eléctrica",F506="Vehículo eléctrico - Uso Individual","Vehículo eléctrico",F506="Vehículo eléctrico - Uso Compartido","Vehículo eléctrico")</f>
        <v>#NAME?</v>
      </c>
      <c r="J506" s="486">
        <v>1</v>
      </c>
      <c r="K506" s="1324" t="e">
        <f t="shared" ca="1" si="3"/>
        <v>#NAME?</v>
      </c>
      <c r="L506" s="1325">
        <f ca="1">+IFERROR(VLOOKUP(I506,'Factores Emisión EDGE'!$K$267:$L$272,2,0),0)</f>
        <v>0</v>
      </c>
      <c r="M506" s="1325" t="e">
        <f t="shared" ca="1" si="4"/>
        <v>#NAME?</v>
      </c>
      <c r="N506" s="486" t="s">
        <v>3056</v>
      </c>
      <c r="O506" s="1312"/>
      <c r="P506" s="1312"/>
    </row>
    <row r="507" spans="1:16" ht="15.75" customHeight="1">
      <c r="A507" s="1314">
        <v>44938.685689768521</v>
      </c>
      <c r="B507" s="1310" t="s">
        <v>3785</v>
      </c>
      <c r="C507" s="1310" t="s">
        <v>3786</v>
      </c>
      <c r="D507" s="1310" t="s">
        <v>3083</v>
      </c>
      <c r="E507" s="1310" t="s">
        <v>3042</v>
      </c>
      <c r="F507" s="1310" t="s">
        <v>1983</v>
      </c>
      <c r="G507" s="1323">
        <v>2</v>
      </c>
      <c r="H507" s="486" t="e">
        <f t="array" aca="1" ref="H507" ca="1">+_xludf.IFS(E507="100% Presencial",1, E507="20% Teletrabajo (4 días a la semana)",0.8,E507="40% Teletrabajo (3 días a la semana)",0.6,E507="60% Teletrabajo (2 días a la semana)",0.4,E507="80% Teletrabajo (1 día a la semana)",0.2,E507="100% Teletrabajo",0)</f>
        <v>#NAME?</v>
      </c>
      <c r="I507" s="486" t="e">
        <f t="array" aca="1" ref="I507" ca="1">+_xludf.IFS(F507="Vehículo - Uso individual","Auto",F507="Vehículo - Uso compartido","Auto",F507="Transporte público/bus de acercamiento","Bus",F507="Moto","Moto",F507="Bicicleta o caminando","Bicicleta",F507="Ninguno, pues realicé 100% teletrabajo","No aplica",F507="Moto eléctrica","Moto eléctrica",F507="Vehículo eléctrico - Uso Individual","Vehículo eléctrico",F507="Vehículo eléctrico - Uso Compartido","Vehículo eléctrico")</f>
        <v>#NAME?</v>
      </c>
      <c r="J507" s="486">
        <v>1</v>
      </c>
      <c r="K507" s="1324" t="e">
        <f t="shared" ca="1" si="3"/>
        <v>#NAME?</v>
      </c>
      <c r="L507" s="1325">
        <f ca="1">+IFERROR(VLOOKUP(I507,'Factores Emisión EDGE'!$K$267:$L$272,2,0),0)</f>
        <v>0</v>
      </c>
      <c r="M507" s="1325" t="e">
        <f t="shared" ca="1" si="4"/>
        <v>#NAME?</v>
      </c>
      <c r="N507" s="486" t="s">
        <v>3056</v>
      </c>
      <c r="O507" s="1312"/>
      <c r="P507" s="1312"/>
    </row>
    <row r="508" spans="1:16" ht="15.75" customHeight="1">
      <c r="A508" s="1314">
        <v>44929.487536493056</v>
      </c>
      <c r="B508" s="1310" t="s">
        <v>3787</v>
      </c>
      <c r="C508" s="1310" t="s">
        <v>3788</v>
      </c>
      <c r="D508" s="1310" t="s">
        <v>3580</v>
      </c>
      <c r="E508" s="1310" t="s">
        <v>3042</v>
      </c>
      <c r="F508" s="1310" t="s">
        <v>1952</v>
      </c>
      <c r="G508" s="1323">
        <v>2</v>
      </c>
      <c r="H508" s="486" t="e">
        <f t="array" aca="1" ref="H508" ca="1">+_xludf.IFS(E508="100% Presencial",1, E508="20% Teletrabajo (4 días a la semana)",0.8,E508="40% Teletrabajo (3 días a la semana)",0.6,E508="60% Teletrabajo (2 días a la semana)",0.4,E508="80% Teletrabajo (1 día a la semana)",0.2,E508="100% Teletrabajo",0)</f>
        <v>#NAME?</v>
      </c>
      <c r="I508" s="486" t="e">
        <f t="array" aca="1" ref="I508" ca="1">+_xludf.IFS(F508="Vehículo - Uso individual","Auto",F508="Vehículo - Uso compartido","Auto",F508="Transporte público/bus de acercamiento","Bus",F508="Moto","Moto",F508="Bicicleta o caminando","Bicicleta",F508="Ninguno, pues realicé 100% teletrabajo","No aplica",F508="Moto eléctrica","Moto eléctrica",F508="Vehículo eléctrico - Uso Individual","Vehículo eléctrico",F508="Vehículo eléctrico - Uso Compartido","Vehículo eléctrico")</f>
        <v>#NAME?</v>
      </c>
      <c r="J508" s="486">
        <v>1</v>
      </c>
      <c r="K508" s="1324" t="e">
        <f t="shared" ca="1" si="3"/>
        <v>#NAME?</v>
      </c>
      <c r="L508" s="1325">
        <f ca="1">+IFERROR(VLOOKUP(I508,'Factores Emisión EDGE'!$K$267:$L$272,2,0),0)</f>
        <v>0</v>
      </c>
      <c r="M508" s="1325" t="e">
        <f t="shared" ca="1" si="4"/>
        <v>#NAME?</v>
      </c>
      <c r="N508" s="486" t="s">
        <v>3043</v>
      </c>
      <c r="O508" s="1312"/>
      <c r="P508" s="1312"/>
    </row>
    <row r="509" spans="1:16" ht="15.75" customHeight="1">
      <c r="A509" s="1314">
        <v>44929.570410486107</v>
      </c>
      <c r="B509" s="1310" t="s">
        <v>3789</v>
      </c>
      <c r="C509" s="1310" t="s">
        <v>3790</v>
      </c>
      <c r="D509" s="1310" t="s">
        <v>3285</v>
      </c>
      <c r="E509" s="1310" t="s">
        <v>3042</v>
      </c>
      <c r="F509" s="1310" t="s">
        <v>1983</v>
      </c>
      <c r="G509" s="1323">
        <v>2</v>
      </c>
      <c r="H509" s="486" t="e">
        <f t="array" aca="1" ref="H509" ca="1">+_xludf.IFS(E509="100% Presencial",1, E509="20% Teletrabajo (4 días a la semana)",0.8,E509="40% Teletrabajo (3 días a la semana)",0.6,E509="60% Teletrabajo (2 días a la semana)",0.4,E509="80% Teletrabajo (1 día a la semana)",0.2,E509="100% Teletrabajo",0)</f>
        <v>#NAME?</v>
      </c>
      <c r="I509" s="486" t="e">
        <f t="array" aca="1" ref="I509" ca="1">+_xludf.IFS(F509="Vehículo - Uso individual","Auto",F509="Vehículo - Uso compartido","Auto",F509="Transporte público/bus de acercamiento","Bus",F509="Moto","Moto",F509="Bicicleta o caminando","Bicicleta",F509="Ninguno, pues realicé 100% teletrabajo","No aplica",F509="Moto eléctrica","Moto eléctrica",F509="Vehículo eléctrico - Uso Individual","Vehículo eléctrico",F509="Vehículo eléctrico - Uso Compartido","Vehículo eléctrico")</f>
        <v>#NAME?</v>
      </c>
      <c r="J509" s="486">
        <v>1</v>
      </c>
      <c r="K509" s="1324" t="e">
        <f t="shared" ca="1" si="3"/>
        <v>#NAME?</v>
      </c>
      <c r="L509" s="1325">
        <f ca="1">+IFERROR(VLOOKUP(I509,'Factores Emisión EDGE'!$K$267:$L$272,2,0),0)</f>
        <v>0</v>
      </c>
      <c r="M509" s="1325" t="e">
        <f t="shared" ca="1" si="4"/>
        <v>#NAME?</v>
      </c>
      <c r="N509" s="486" t="s">
        <v>3043</v>
      </c>
      <c r="O509" s="1312"/>
      <c r="P509" s="1312"/>
    </row>
    <row r="510" spans="1:16" ht="15.75" customHeight="1">
      <c r="A510" s="1314">
        <v>44929.599018113426</v>
      </c>
      <c r="B510" s="1310" t="s">
        <v>3791</v>
      </c>
      <c r="C510" s="1310" t="s">
        <v>2688</v>
      </c>
      <c r="D510" s="1310" t="s">
        <v>3162</v>
      </c>
      <c r="E510" s="1310" t="s">
        <v>3042</v>
      </c>
      <c r="F510" s="1310" t="s">
        <v>1952</v>
      </c>
      <c r="G510" s="1323">
        <v>2</v>
      </c>
      <c r="H510" s="486" t="e">
        <f t="array" aca="1" ref="H510" ca="1">+_xludf.IFS(E510="100% Presencial",1, E510="20% Teletrabajo (4 días a la semana)",0.8,E510="40% Teletrabajo (3 días a la semana)",0.6,E510="60% Teletrabajo (2 días a la semana)",0.4,E510="80% Teletrabajo (1 día a la semana)",0.2,E510="100% Teletrabajo",0)</f>
        <v>#NAME?</v>
      </c>
      <c r="I510" s="486" t="e">
        <f t="array" aca="1" ref="I510" ca="1">+_xludf.IFS(F510="Vehículo - Uso individual","Auto",F510="Vehículo - Uso compartido","Auto",F510="Transporte público/bus de acercamiento","Bus",F510="Moto","Moto",F510="Bicicleta o caminando","Bicicleta",F510="Ninguno, pues realicé 100% teletrabajo","No aplica",F510="Moto eléctrica","Moto eléctrica",F510="Vehículo eléctrico - Uso Individual","Vehículo eléctrico",F510="Vehículo eléctrico - Uso Compartido","Vehículo eléctrico")</f>
        <v>#NAME?</v>
      </c>
      <c r="J510" s="486">
        <v>1</v>
      </c>
      <c r="K510" s="1324" t="e">
        <f t="shared" ca="1" si="3"/>
        <v>#NAME?</v>
      </c>
      <c r="L510" s="1325">
        <f ca="1">+IFERROR(VLOOKUP(I510,'Factores Emisión EDGE'!$K$267:$L$272,2,0),0)</f>
        <v>0</v>
      </c>
      <c r="M510" s="1325" t="e">
        <f t="shared" ca="1" si="4"/>
        <v>#NAME?</v>
      </c>
      <c r="N510" s="486" t="s">
        <v>3043</v>
      </c>
      <c r="O510" s="1312"/>
      <c r="P510" s="1312"/>
    </row>
    <row r="511" spans="1:16" ht="15.75" customHeight="1">
      <c r="A511" s="1314">
        <v>44930.511222175926</v>
      </c>
      <c r="B511" s="1310" t="s">
        <v>3792</v>
      </c>
      <c r="C511" s="1310" t="s">
        <v>3793</v>
      </c>
      <c r="D511" s="1310" t="s">
        <v>3107</v>
      </c>
      <c r="E511" s="1310" t="s">
        <v>3042</v>
      </c>
      <c r="F511" s="1310" t="s">
        <v>1983</v>
      </c>
      <c r="G511" s="1323">
        <v>2</v>
      </c>
      <c r="H511" s="486" t="e">
        <f t="array" aca="1" ref="H511" ca="1">+_xludf.IFS(E511="100% Presencial",1, E511="20% Teletrabajo (4 días a la semana)",0.8,E511="40% Teletrabajo (3 días a la semana)",0.6,E511="60% Teletrabajo (2 días a la semana)",0.4,E511="80% Teletrabajo (1 día a la semana)",0.2,E511="100% Teletrabajo",0)</f>
        <v>#NAME?</v>
      </c>
      <c r="I511" s="486" t="e">
        <f t="array" aca="1" ref="I511" ca="1">+_xludf.IFS(F511="Vehículo - Uso individual","Auto",F511="Vehículo - Uso compartido","Auto",F511="Transporte público/bus de acercamiento","Bus",F511="Moto","Moto",F511="Bicicleta o caminando","Bicicleta",F511="Ninguno, pues realicé 100% teletrabajo","No aplica",F511="Moto eléctrica","Moto eléctrica",F511="Vehículo eléctrico - Uso Individual","Vehículo eléctrico",F511="Vehículo eléctrico - Uso Compartido","Vehículo eléctrico")</f>
        <v>#NAME?</v>
      </c>
      <c r="J511" s="486">
        <v>1</v>
      </c>
      <c r="K511" s="1324" t="e">
        <f t="shared" ca="1" si="3"/>
        <v>#NAME?</v>
      </c>
      <c r="L511" s="1325">
        <f ca="1">+IFERROR(VLOOKUP(I511,'Factores Emisión EDGE'!$K$267:$L$272,2,0),0)</f>
        <v>0</v>
      </c>
      <c r="M511" s="1325" t="e">
        <f t="shared" ca="1" si="4"/>
        <v>#NAME?</v>
      </c>
      <c r="N511" s="486" t="s">
        <v>3056</v>
      </c>
      <c r="O511" s="1312"/>
      <c r="P511" s="1312"/>
    </row>
    <row r="512" spans="1:16" ht="15.75" customHeight="1">
      <c r="A512" s="1314">
        <v>44930.529500949073</v>
      </c>
      <c r="B512" s="1310" t="s">
        <v>3794</v>
      </c>
      <c r="C512" s="1310" t="s">
        <v>3795</v>
      </c>
      <c r="D512" s="1310" t="s">
        <v>3083</v>
      </c>
      <c r="E512" s="1310" t="s">
        <v>3042</v>
      </c>
      <c r="F512" s="1310" t="s">
        <v>1952</v>
      </c>
      <c r="G512" s="1323">
        <v>2</v>
      </c>
      <c r="H512" s="486" t="e">
        <f t="array" aca="1" ref="H512" ca="1">+_xludf.IFS(E512="100% Presencial",1, E512="20% Teletrabajo (4 días a la semana)",0.8,E512="40% Teletrabajo (3 días a la semana)",0.6,E512="60% Teletrabajo (2 días a la semana)",0.4,E512="80% Teletrabajo (1 día a la semana)",0.2,E512="100% Teletrabajo",0)</f>
        <v>#NAME?</v>
      </c>
      <c r="I512" s="486" t="e">
        <f t="array" aca="1" ref="I512" ca="1">+_xludf.IFS(F512="Vehículo - Uso individual","Auto",F512="Vehículo - Uso compartido","Auto",F512="Transporte público/bus de acercamiento","Bus",F512="Moto","Moto",F512="Bicicleta o caminando","Bicicleta",F512="Ninguno, pues realicé 100% teletrabajo","No aplica",F512="Moto eléctrica","Moto eléctrica",F512="Vehículo eléctrico - Uso Individual","Vehículo eléctrico",F512="Vehículo eléctrico - Uso Compartido","Vehículo eléctrico")</f>
        <v>#NAME?</v>
      </c>
      <c r="J512" s="486">
        <v>1</v>
      </c>
      <c r="K512" s="1324" t="e">
        <f t="shared" ref="K512:K588" ca="1" si="5">+H512*G512*2*$W$5</f>
        <v>#NAME?</v>
      </c>
      <c r="L512" s="1325">
        <f ca="1">+IFERROR(VLOOKUP(I512,'Factores Emisión EDGE'!$K$267:$L$272,2,0),0)</f>
        <v>0</v>
      </c>
      <c r="M512" s="1325" t="e">
        <f t="shared" ref="M512:M588" ca="1" si="6">+L512*K512*H512/1000</f>
        <v>#NAME?</v>
      </c>
      <c r="N512" s="486" t="s">
        <v>3056</v>
      </c>
      <c r="O512" s="1312"/>
      <c r="P512" s="1312"/>
    </row>
    <row r="513" spans="1:16" ht="15.75" customHeight="1">
      <c r="A513" s="1314">
        <v>44930.678129467589</v>
      </c>
      <c r="B513" s="1310" t="s">
        <v>3796</v>
      </c>
      <c r="C513" s="1310" t="s">
        <v>3797</v>
      </c>
      <c r="D513" s="1310" t="s">
        <v>3063</v>
      </c>
      <c r="E513" s="1310" t="s">
        <v>3042</v>
      </c>
      <c r="F513" s="1310" t="s">
        <v>1952</v>
      </c>
      <c r="G513" s="1323">
        <v>2</v>
      </c>
      <c r="H513" s="486" t="e">
        <f t="array" aca="1" ref="H513" ca="1">+_xludf.IFS(E513="100% Presencial",1, E513="20% Teletrabajo (4 días a la semana)",0.8,E513="40% Teletrabajo (3 días a la semana)",0.6,E513="60% Teletrabajo (2 días a la semana)",0.4,E513="80% Teletrabajo (1 día a la semana)",0.2,E513="100% Teletrabajo",0)</f>
        <v>#NAME?</v>
      </c>
      <c r="I513" s="486" t="e">
        <f t="array" aca="1" ref="I513" ca="1">+_xludf.IFS(F513="Vehículo - Uso individual","Auto",F513="Vehículo - Uso compartido","Auto",F513="Transporte público/bus de acercamiento","Bus",F513="Moto","Moto",F513="Bicicleta o caminando","Bicicleta",F513="Ninguno, pues realicé 100% teletrabajo","No aplica",F513="Moto eléctrica","Moto eléctrica",F513="Vehículo eléctrico - Uso Individual","Vehículo eléctrico",F513="Vehículo eléctrico - Uso Compartido","Vehículo eléctrico")</f>
        <v>#NAME?</v>
      </c>
      <c r="J513" s="486">
        <v>1</v>
      </c>
      <c r="K513" s="1324" t="e">
        <f t="shared" ca="1" si="5"/>
        <v>#NAME?</v>
      </c>
      <c r="L513" s="1325">
        <f ca="1">+IFERROR(VLOOKUP(I513,'Factores Emisión EDGE'!$K$267:$L$272,2,0),0)</f>
        <v>0</v>
      </c>
      <c r="M513" s="1325" t="e">
        <f t="shared" ca="1" si="6"/>
        <v>#NAME?</v>
      </c>
      <c r="N513" s="486" t="s">
        <v>3056</v>
      </c>
      <c r="O513" s="1312"/>
      <c r="P513" s="1312"/>
    </row>
    <row r="514" spans="1:16" ht="15.75" customHeight="1">
      <c r="A514" s="1314">
        <v>44930.816449502316</v>
      </c>
      <c r="B514" s="1310" t="s">
        <v>3798</v>
      </c>
      <c r="C514" s="1310" t="s">
        <v>3799</v>
      </c>
      <c r="D514" s="1310" t="s">
        <v>3083</v>
      </c>
      <c r="E514" s="1310" t="s">
        <v>3042</v>
      </c>
      <c r="F514" s="1310" t="s">
        <v>1952</v>
      </c>
      <c r="G514" s="1323">
        <v>2</v>
      </c>
      <c r="H514" s="486" t="e">
        <f t="array" aca="1" ref="H514" ca="1">+_xludf.IFS(E514="100% Presencial",1, E514="20% Teletrabajo (4 días a la semana)",0.8,E514="40% Teletrabajo (3 días a la semana)",0.6,E514="60% Teletrabajo (2 días a la semana)",0.4,E514="80% Teletrabajo (1 día a la semana)",0.2,E514="100% Teletrabajo",0)</f>
        <v>#NAME?</v>
      </c>
      <c r="I514" s="486" t="e">
        <f t="array" aca="1" ref="I514" ca="1">+_xludf.IFS(F514="Vehículo - Uso individual","Auto",F514="Vehículo - Uso compartido","Auto",F514="Transporte público/bus de acercamiento","Bus",F514="Moto","Moto",F514="Bicicleta o caminando","Bicicleta",F514="Ninguno, pues realicé 100% teletrabajo","No aplica",F514="Moto eléctrica","Moto eléctrica",F514="Vehículo eléctrico - Uso Individual","Vehículo eléctrico",F514="Vehículo eléctrico - Uso Compartido","Vehículo eléctrico")</f>
        <v>#NAME?</v>
      </c>
      <c r="J514" s="486">
        <v>1</v>
      </c>
      <c r="K514" s="1324" t="e">
        <f t="shared" ca="1" si="5"/>
        <v>#NAME?</v>
      </c>
      <c r="L514" s="1325">
        <f ca="1">+IFERROR(VLOOKUP(I514,'Factores Emisión EDGE'!$K$267:$L$272,2,0),0)</f>
        <v>0</v>
      </c>
      <c r="M514" s="1325" t="e">
        <f t="shared" ca="1" si="6"/>
        <v>#NAME?</v>
      </c>
      <c r="N514" s="486" t="s">
        <v>3056</v>
      </c>
      <c r="O514" s="1312"/>
      <c r="P514" s="1312"/>
    </row>
    <row r="515" spans="1:16" ht="15.75" customHeight="1">
      <c r="A515" s="1314">
        <v>44935.058776863429</v>
      </c>
      <c r="B515" s="1310" t="s">
        <v>3800</v>
      </c>
      <c r="C515" s="1310" t="s">
        <v>3801</v>
      </c>
      <c r="D515" s="1310" t="s">
        <v>3083</v>
      </c>
      <c r="E515" s="1310" t="s">
        <v>3042</v>
      </c>
      <c r="F515" s="1310" t="s">
        <v>1952</v>
      </c>
      <c r="G515" s="1323">
        <v>2</v>
      </c>
      <c r="H515" s="486" t="e">
        <f t="array" aca="1" ref="H515" ca="1">+_xludf.IFS(E515="100% Presencial",1, E515="20% Teletrabajo (4 días a la semana)",0.8,E515="40% Teletrabajo (3 días a la semana)",0.6,E515="60% Teletrabajo (2 días a la semana)",0.4,E515="80% Teletrabajo (1 día a la semana)",0.2,E515="100% Teletrabajo",0)</f>
        <v>#NAME?</v>
      </c>
      <c r="I515" s="486" t="e">
        <f t="array" aca="1" ref="I515" ca="1">+_xludf.IFS(F515="Vehículo - Uso individual","Auto",F515="Vehículo - Uso compartido","Auto",F515="Transporte público/bus de acercamiento","Bus",F515="Moto","Moto",F515="Bicicleta o caminando","Bicicleta",F515="Ninguno, pues realicé 100% teletrabajo","No aplica",F515="Moto eléctrica","Moto eléctrica",F515="Vehículo eléctrico - Uso Individual","Vehículo eléctrico",F515="Vehículo eléctrico - Uso Compartido","Vehículo eléctrico")</f>
        <v>#NAME?</v>
      </c>
      <c r="J515" s="486">
        <v>1</v>
      </c>
      <c r="K515" s="1324" t="e">
        <f t="shared" ca="1" si="5"/>
        <v>#NAME?</v>
      </c>
      <c r="L515" s="1325">
        <f ca="1">+IFERROR(VLOOKUP(I515,'Factores Emisión EDGE'!$K$267:$L$272,2,0),0)</f>
        <v>0</v>
      </c>
      <c r="M515" s="1325" t="e">
        <f t="shared" ca="1" si="6"/>
        <v>#NAME?</v>
      </c>
      <c r="N515" s="486" t="s">
        <v>3056</v>
      </c>
      <c r="O515" s="1312"/>
      <c r="P515" s="1312"/>
    </row>
    <row r="516" spans="1:16" ht="15.75" customHeight="1">
      <c r="A516" s="1314">
        <v>44937.561509780091</v>
      </c>
      <c r="B516" s="1310" t="s">
        <v>3802</v>
      </c>
      <c r="C516" s="1310" t="s">
        <v>3803</v>
      </c>
      <c r="D516" s="1310" t="s">
        <v>3292</v>
      </c>
      <c r="E516" s="1310" t="s">
        <v>3042</v>
      </c>
      <c r="F516" s="1310" t="s">
        <v>3055</v>
      </c>
      <c r="G516" s="1323">
        <v>2</v>
      </c>
      <c r="H516" s="486" t="e">
        <f t="array" aca="1" ref="H516" ca="1">+_xludf.IFS(E516="100% Presencial",1, E516="20% Teletrabajo (4 días a la semana)",0.8,E516="40% Teletrabajo (3 días a la semana)",0.6,E516="60% Teletrabajo (2 días a la semana)",0.4,E516="80% Teletrabajo (1 día a la semana)",0.2,E516="100% Teletrabajo",0)</f>
        <v>#NAME?</v>
      </c>
      <c r="I516" s="486" t="e">
        <f t="array" aca="1" ref="I516" ca="1">+_xludf.IFS(F516="Vehículo - Uso individual","Auto",F516="Vehículo - Uso compartido","Auto",F516="Transporte público/bus de acercamiento","Bus",F516="Moto","Moto",F516="Bicicleta o caminando","Bicicleta",F516="Ninguno, pues realicé 100% teletrabajo","No aplica",F516="Moto eléctrica","Moto eléctrica",F516="Vehículo eléctrico - Uso Individual","Vehículo eléctrico",F516="Vehículo eléctrico - Uso Compartido","Vehículo eléctrico")</f>
        <v>#NAME?</v>
      </c>
      <c r="J516" s="486">
        <v>1</v>
      </c>
      <c r="K516" s="1324" t="e">
        <f t="shared" ca="1" si="5"/>
        <v>#NAME?</v>
      </c>
      <c r="L516" s="1325">
        <f ca="1">+IFERROR(VLOOKUP(I516,'Factores Emisión EDGE'!$K$267:$L$272,2,0),0)</f>
        <v>0</v>
      </c>
      <c r="M516" s="1325" t="e">
        <f t="shared" ca="1" si="6"/>
        <v>#NAME?</v>
      </c>
      <c r="N516" s="486" t="s">
        <v>3043</v>
      </c>
      <c r="O516" s="1312"/>
      <c r="P516" s="1312"/>
    </row>
    <row r="517" spans="1:16" ht="15.75" customHeight="1">
      <c r="A517" s="1314">
        <v>44938.549240011576</v>
      </c>
      <c r="B517" s="1310" t="s">
        <v>3804</v>
      </c>
      <c r="C517" s="1310" t="s">
        <v>3805</v>
      </c>
      <c r="D517" s="1310" t="s">
        <v>3046</v>
      </c>
      <c r="E517" s="1310" t="s">
        <v>3042</v>
      </c>
      <c r="F517" s="1310" t="s">
        <v>1952</v>
      </c>
      <c r="G517" s="1323">
        <v>2</v>
      </c>
      <c r="H517" s="486" t="e">
        <f t="array" aca="1" ref="H517" ca="1">+_xludf.IFS(E517="100% Presencial",1, E517="20% Teletrabajo (4 días a la semana)",0.8,E517="40% Teletrabajo (3 días a la semana)",0.6,E517="60% Teletrabajo (2 días a la semana)",0.4,E517="80% Teletrabajo (1 día a la semana)",0.2,E517="100% Teletrabajo",0)</f>
        <v>#NAME?</v>
      </c>
      <c r="I517" s="486" t="e">
        <f t="array" aca="1" ref="I517" ca="1">+_xludf.IFS(F517="Vehículo - Uso individual","Auto",F517="Vehículo - Uso compartido","Auto",F517="Transporte público/bus de acercamiento","Bus",F517="Moto","Moto",F517="Bicicleta o caminando","Bicicleta",F517="Ninguno, pues realicé 100% teletrabajo","No aplica",F517="Moto eléctrica","Moto eléctrica",F517="Vehículo eléctrico - Uso Individual","Vehículo eléctrico",F517="Vehículo eléctrico - Uso Compartido","Vehículo eléctrico")</f>
        <v>#NAME?</v>
      </c>
      <c r="J517" s="486">
        <v>1</v>
      </c>
      <c r="K517" s="1324" t="e">
        <f t="shared" ca="1" si="5"/>
        <v>#NAME?</v>
      </c>
      <c r="L517" s="1325">
        <f ca="1">+IFERROR(VLOOKUP(I517,'Factores Emisión EDGE'!$K$267:$L$272,2,0),0)</f>
        <v>0</v>
      </c>
      <c r="M517" s="1325" t="e">
        <f t="shared" ca="1" si="6"/>
        <v>#NAME?</v>
      </c>
      <c r="N517" s="486" t="s">
        <v>3056</v>
      </c>
      <c r="O517" s="1312"/>
      <c r="P517" s="1312"/>
    </row>
    <row r="518" spans="1:16" ht="15.75" customHeight="1">
      <c r="A518" s="1314">
        <v>44938.552203587962</v>
      </c>
      <c r="B518" s="1310" t="s">
        <v>3806</v>
      </c>
      <c r="C518" s="1310" t="s">
        <v>3807</v>
      </c>
      <c r="D518" s="1310" t="s">
        <v>3048</v>
      </c>
      <c r="E518" s="1310" t="s">
        <v>3042</v>
      </c>
      <c r="F518" s="1310" t="s">
        <v>1983</v>
      </c>
      <c r="G518" s="1323">
        <v>2</v>
      </c>
      <c r="H518" s="486" t="e">
        <f t="array" aca="1" ref="H518" ca="1">+_xludf.IFS(E518="100% Presencial",1, E518="20% Teletrabajo (4 días a la semana)",0.8,E518="40% Teletrabajo (3 días a la semana)",0.6,E518="60% Teletrabajo (2 días a la semana)",0.4,E518="80% Teletrabajo (1 día a la semana)",0.2,E518="100% Teletrabajo",0)</f>
        <v>#NAME?</v>
      </c>
      <c r="I518" s="486" t="e">
        <f t="array" aca="1" ref="I518" ca="1">+_xludf.IFS(F518="Vehículo - Uso individual","Auto",F518="Vehículo - Uso compartido","Auto",F518="Transporte público/bus de acercamiento","Bus",F518="Moto","Moto",F518="Bicicleta o caminando","Bicicleta",F518="Ninguno, pues realicé 100% teletrabajo","No aplica",F518="Moto eléctrica","Moto eléctrica",F518="Vehículo eléctrico - Uso Individual","Vehículo eléctrico",F518="Vehículo eléctrico - Uso Compartido","Vehículo eléctrico")</f>
        <v>#NAME?</v>
      </c>
      <c r="J518" s="486">
        <v>1</v>
      </c>
      <c r="K518" s="1324" t="e">
        <f t="shared" ca="1" si="5"/>
        <v>#NAME?</v>
      </c>
      <c r="L518" s="1325">
        <f ca="1">+IFERROR(VLOOKUP(I518,'Factores Emisión EDGE'!$K$267:$L$272,2,0),0)</f>
        <v>0</v>
      </c>
      <c r="M518" s="1325" t="e">
        <f t="shared" ca="1" si="6"/>
        <v>#NAME?</v>
      </c>
      <c r="N518" s="486" t="s">
        <v>3056</v>
      </c>
      <c r="O518" s="1312"/>
      <c r="P518" s="1312"/>
    </row>
    <row r="519" spans="1:16" ht="15.75" customHeight="1">
      <c r="A519" s="1314">
        <v>44938.731250208337</v>
      </c>
      <c r="B519" s="1310" t="s">
        <v>3808</v>
      </c>
      <c r="C519" s="1310" t="s">
        <v>3809</v>
      </c>
      <c r="D519" s="1310" t="s">
        <v>3292</v>
      </c>
      <c r="E519" s="1310" t="s">
        <v>3042</v>
      </c>
      <c r="F519" s="1310" t="s">
        <v>1952</v>
      </c>
      <c r="G519" s="1323">
        <v>2</v>
      </c>
      <c r="H519" s="486" t="e">
        <f t="array" aca="1" ref="H519" ca="1">+_xludf.IFS(E519="100% Presencial",1, E519="20% Teletrabajo (4 días a la semana)",0.8,E519="40% Teletrabajo (3 días a la semana)",0.6,E519="60% Teletrabajo (2 días a la semana)",0.4,E519="80% Teletrabajo (1 día a la semana)",0.2,E519="100% Teletrabajo",0)</f>
        <v>#NAME?</v>
      </c>
      <c r="I519" s="486" t="e">
        <f t="array" aca="1" ref="I519" ca="1">+_xludf.IFS(F519="Vehículo - Uso individual","Auto",F519="Vehículo - Uso compartido","Auto",F519="Transporte público/bus de acercamiento","Bus",F519="Moto","Moto",F519="Bicicleta o caminando","Bicicleta",F519="Ninguno, pues realicé 100% teletrabajo","No aplica",F519="Moto eléctrica","Moto eléctrica",F519="Vehículo eléctrico - Uso Individual","Vehículo eléctrico",F519="Vehículo eléctrico - Uso Compartido","Vehículo eléctrico")</f>
        <v>#NAME?</v>
      </c>
      <c r="J519" s="486">
        <v>1</v>
      </c>
      <c r="K519" s="1324" t="e">
        <f t="shared" ca="1" si="5"/>
        <v>#NAME?</v>
      </c>
      <c r="L519" s="1325">
        <f ca="1">+IFERROR(VLOOKUP(I519,'Factores Emisión EDGE'!$K$267:$L$272,2,0),0)</f>
        <v>0</v>
      </c>
      <c r="M519" s="1325" t="e">
        <f t="shared" ca="1" si="6"/>
        <v>#NAME?</v>
      </c>
      <c r="N519" s="486" t="s">
        <v>3056</v>
      </c>
      <c r="O519" s="1312"/>
      <c r="P519" s="1312"/>
    </row>
    <row r="520" spans="1:16" ht="15.75" customHeight="1">
      <c r="A520" s="1314">
        <v>44938.549641215279</v>
      </c>
      <c r="B520" s="1310" t="s">
        <v>3810</v>
      </c>
      <c r="C520" s="1310" t="s">
        <v>2881</v>
      </c>
      <c r="D520" s="1310" t="s">
        <v>3048</v>
      </c>
      <c r="E520" s="1310" t="s">
        <v>3042</v>
      </c>
      <c r="F520" s="1310" t="s">
        <v>1952</v>
      </c>
      <c r="G520" s="1323">
        <v>1.7</v>
      </c>
      <c r="H520" s="486" t="e">
        <f t="array" aca="1" ref="H520" ca="1">+_xludf.IFS(E520="100% Presencial",1, E520="20% Teletrabajo (4 días a la semana)",0.8,E520="40% Teletrabajo (3 días a la semana)",0.6,E520="60% Teletrabajo (2 días a la semana)",0.4,E520="80% Teletrabajo (1 día a la semana)",0.2,E520="100% Teletrabajo",0)</f>
        <v>#NAME?</v>
      </c>
      <c r="I520" s="486" t="e">
        <f t="array" aca="1" ref="I520" ca="1">+_xludf.IFS(F520="Vehículo - Uso individual","Auto",F520="Vehículo - Uso compartido","Auto",F520="Transporte público/bus de acercamiento","Bus",F520="Moto","Moto",F520="Bicicleta o caminando","Bicicleta",F520="Ninguno, pues realicé 100% teletrabajo","No aplica",F520="Moto eléctrica","Moto eléctrica",F520="Vehículo eléctrico - Uso Individual","Vehículo eléctrico",F520="Vehículo eléctrico - Uso Compartido","Vehículo eléctrico")</f>
        <v>#NAME?</v>
      </c>
      <c r="J520" s="486">
        <v>1</v>
      </c>
      <c r="K520" s="1324" t="e">
        <f t="shared" ca="1" si="5"/>
        <v>#NAME?</v>
      </c>
      <c r="L520" s="1325">
        <f ca="1">+IFERROR(VLOOKUP(I520,'Factores Emisión EDGE'!$K$267:$L$272,2,0),0)</f>
        <v>0</v>
      </c>
      <c r="M520" s="1325" t="e">
        <f t="shared" ca="1" si="6"/>
        <v>#NAME?</v>
      </c>
      <c r="N520" s="486" t="s">
        <v>3056</v>
      </c>
      <c r="O520" s="1312"/>
      <c r="P520" s="1312"/>
    </row>
    <row r="521" spans="1:16" ht="15.75" customHeight="1">
      <c r="A521" s="1314">
        <v>44930.601253692133</v>
      </c>
      <c r="B521" s="1310" t="s">
        <v>2880</v>
      </c>
      <c r="C521" s="1310" t="s">
        <v>2881</v>
      </c>
      <c r="D521" s="1310" t="s">
        <v>3048</v>
      </c>
      <c r="E521" s="1310" t="s">
        <v>3042</v>
      </c>
      <c r="F521" s="1310" t="s">
        <v>1952</v>
      </c>
      <c r="G521" s="1323">
        <v>1.7</v>
      </c>
      <c r="H521" s="486" t="e">
        <f t="array" aca="1" ref="H521" ca="1">+_xludf.IFS(E521="100% Presencial",1, E521="20% Teletrabajo (4 días a la semana)",0.8,E521="40% Teletrabajo (3 días a la semana)",0.6,E521="60% Teletrabajo (2 días a la semana)",0.4,E521="80% Teletrabajo (1 día a la semana)",0.2,E521="100% Teletrabajo",0)</f>
        <v>#NAME?</v>
      </c>
      <c r="I521" s="486" t="e">
        <f t="array" aca="1" ref="I521" ca="1">+_xludf.IFS(F521="Vehículo - Uso individual","Auto",F521="Vehículo - Uso compartido","Auto",F521="Transporte público/bus de acercamiento","Bus",F521="Moto","Moto",F521="Bicicleta o caminando","Bicicleta",F521="Ninguno, pues realicé 100% teletrabajo","No aplica",F521="Moto eléctrica","Moto eléctrica",F521="Vehículo eléctrico - Uso Individual","Vehículo eléctrico",F521="Vehículo eléctrico - Uso Compartido","Vehículo eléctrico")</f>
        <v>#NAME?</v>
      </c>
      <c r="J521" s="486">
        <v>1</v>
      </c>
      <c r="K521" s="1324" t="e">
        <f t="shared" ca="1" si="5"/>
        <v>#NAME?</v>
      </c>
      <c r="L521" s="1325">
        <f ca="1">+IFERROR(VLOOKUP(I521,'Factores Emisión EDGE'!$K$267:$L$272,2,0),0)</f>
        <v>0</v>
      </c>
      <c r="M521" s="1325" t="e">
        <f t="shared" ca="1" si="6"/>
        <v>#NAME?</v>
      </c>
      <c r="N521" s="486" t="s">
        <v>3056</v>
      </c>
      <c r="O521" s="1312"/>
      <c r="P521" s="1312"/>
    </row>
    <row r="522" spans="1:16" ht="15.75" customHeight="1">
      <c r="A522" s="1314">
        <v>44930.507810555559</v>
      </c>
      <c r="B522" s="1310" t="s">
        <v>3811</v>
      </c>
      <c r="C522" s="1310" t="s">
        <v>3812</v>
      </c>
      <c r="D522" s="1310" t="s">
        <v>3063</v>
      </c>
      <c r="E522" s="1310" t="s">
        <v>3042</v>
      </c>
      <c r="F522" s="1310" t="s">
        <v>1983</v>
      </c>
      <c r="G522" s="1323">
        <v>1.6</v>
      </c>
      <c r="H522" s="486" t="e">
        <f t="array" aca="1" ref="H522" ca="1">+_xludf.IFS(E522="100% Presencial",1, E522="20% Teletrabajo (4 días a la semana)",0.8,E522="40% Teletrabajo (3 días a la semana)",0.6,E522="60% Teletrabajo (2 días a la semana)",0.4,E522="80% Teletrabajo (1 día a la semana)",0.2,E522="100% Teletrabajo",0)</f>
        <v>#NAME?</v>
      </c>
      <c r="I522" s="486" t="e">
        <f t="array" aca="1" ref="I522" ca="1">+_xludf.IFS(F522="Vehículo - Uso individual","Auto",F522="Vehículo - Uso compartido","Auto",F522="Transporte público/bus de acercamiento","Bus",F522="Moto","Moto",F522="Bicicleta o caminando","Bicicleta",F522="Ninguno, pues realicé 100% teletrabajo","No aplica",F522="Moto eléctrica","Moto eléctrica",F522="Vehículo eléctrico - Uso Individual","Vehículo eléctrico",F522="Vehículo eléctrico - Uso Compartido","Vehículo eléctrico")</f>
        <v>#NAME?</v>
      </c>
      <c r="J522" s="486">
        <v>1</v>
      </c>
      <c r="K522" s="1324" t="e">
        <f t="shared" ca="1" si="5"/>
        <v>#NAME?</v>
      </c>
      <c r="L522" s="1325">
        <f ca="1">+IFERROR(VLOOKUP(I522,'Factores Emisión EDGE'!$K$267:$L$272,2,0),0)</f>
        <v>0</v>
      </c>
      <c r="M522" s="1325" t="e">
        <f t="shared" ca="1" si="6"/>
        <v>#NAME?</v>
      </c>
      <c r="N522" s="486" t="s">
        <v>3056</v>
      </c>
      <c r="O522" s="1312"/>
      <c r="P522" s="1312"/>
    </row>
    <row r="523" spans="1:16" ht="15.75" customHeight="1">
      <c r="A523" s="1314">
        <v>44938.571977569445</v>
      </c>
      <c r="B523" s="1310" t="s">
        <v>3813</v>
      </c>
      <c r="C523" s="1310" t="s">
        <v>3814</v>
      </c>
      <c r="D523" s="1310" t="s">
        <v>3048</v>
      </c>
      <c r="E523" s="1310" t="s">
        <v>3042</v>
      </c>
      <c r="F523" s="1310" t="s">
        <v>1983</v>
      </c>
      <c r="G523" s="1323">
        <v>1.5</v>
      </c>
      <c r="H523" s="486" t="e">
        <f t="array" aca="1" ref="H523" ca="1">+_xludf.IFS(E523="100% Presencial",1, E523="20% Teletrabajo (4 días a la semana)",0.8,E523="40% Teletrabajo (3 días a la semana)",0.6,E523="60% Teletrabajo (2 días a la semana)",0.4,E523="80% Teletrabajo (1 día a la semana)",0.2,E523="100% Teletrabajo",0)</f>
        <v>#NAME?</v>
      </c>
      <c r="I523" s="486" t="e">
        <f t="array" aca="1" ref="I523" ca="1">+_xludf.IFS(F523="Vehículo - Uso individual","Auto",F523="Vehículo - Uso compartido","Auto",F523="Transporte público/bus de acercamiento","Bus",F523="Moto","Moto",F523="Bicicleta o caminando","Bicicleta",F523="Ninguno, pues realicé 100% teletrabajo","No aplica",F523="Moto eléctrica","Moto eléctrica",F523="Vehículo eléctrico - Uso Individual","Vehículo eléctrico",F523="Vehículo eléctrico - Uso Compartido","Vehículo eléctrico")</f>
        <v>#NAME?</v>
      </c>
      <c r="J523" s="486">
        <v>1</v>
      </c>
      <c r="K523" s="1324" t="e">
        <f t="shared" ca="1" si="5"/>
        <v>#NAME?</v>
      </c>
      <c r="L523" s="1325">
        <f ca="1">+IFERROR(VLOOKUP(I523,'Factores Emisión EDGE'!$K$267:$L$272,2,0),0)</f>
        <v>0</v>
      </c>
      <c r="M523" s="1325" t="e">
        <f t="shared" ca="1" si="6"/>
        <v>#NAME?</v>
      </c>
      <c r="N523" s="486" t="s">
        <v>3056</v>
      </c>
      <c r="O523" s="1312"/>
      <c r="P523" s="1312"/>
    </row>
    <row r="524" spans="1:16" ht="15.75" customHeight="1">
      <c r="A524" s="1314">
        <v>44930.52840383102</v>
      </c>
      <c r="B524" s="1310" t="s">
        <v>3815</v>
      </c>
      <c r="C524" s="1310" t="s">
        <v>3816</v>
      </c>
      <c r="D524" s="1310" t="s">
        <v>3107</v>
      </c>
      <c r="E524" s="1310" t="s">
        <v>3042</v>
      </c>
      <c r="F524" s="1310" t="s">
        <v>1995</v>
      </c>
      <c r="G524" s="1323">
        <v>1.5</v>
      </c>
      <c r="H524" s="486" t="e">
        <f t="array" aca="1" ref="H524" ca="1">+_xludf.IFS(E524="100% Presencial",1, E524="20% Teletrabajo (4 días a la semana)",0.8,E524="40% Teletrabajo (3 días a la semana)",0.6,E524="60% Teletrabajo (2 días a la semana)",0.4,E524="80% Teletrabajo (1 día a la semana)",0.2,E524="100% Teletrabajo",0)</f>
        <v>#NAME?</v>
      </c>
      <c r="I524" s="486" t="e">
        <f t="array" aca="1" ref="I524" ca="1">+_xludf.IFS(F524="Vehículo - Uso individual","Auto",F524="Vehículo - Uso compartido","Auto",F524="Transporte público/bus de acercamiento","Bus",F524="Moto","Moto",F524="Bicicleta o caminando","Bicicleta",F524="Ninguno, pues realicé 100% teletrabajo","No aplica",F524="Moto eléctrica","Moto eléctrica",F524="Vehículo eléctrico - Uso Individual","Vehículo eléctrico",F524="Vehículo eléctrico - Uso Compartido","Vehículo eléctrico")</f>
        <v>#NAME?</v>
      </c>
      <c r="J524" s="486">
        <v>0.25</v>
      </c>
      <c r="K524" s="1324" t="e">
        <f t="shared" ca="1" si="5"/>
        <v>#NAME?</v>
      </c>
      <c r="L524" s="1325">
        <f ca="1">+IFERROR(VLOOKUP(I524,'Factores Emisión EDGE'!$K$267:$L$272,2,0),0)</f>
        <v>0</v>
      </c>
      <c r="M524" s="1325" t="e">
        <f t="shared" ca="1" si="6"/>
        <v>#NAME?</v>
      </c>
      <c r="N524" s="486" t="s">
        <v>3056</v>
      </c>
      <c r="O524" s="1312"/>
      <c r="P524" s="1312"/>
    </row>
    <row r="525" spans="1:16" ht="15.75" customHeight="1">
      <c r="A525" s="1314">
        <v>44930.700375138884</v>
      </c>
      <c r="B525" s="1310" t="s">
        <v>3817</v>
      </c>
      <c r="C525" s="1310" t="s">
        <v>3818</v>
      </c>
      <c r="D525" s="1310" t="s">
        <v>3054</v>
      </c>
      <c r="E525" s="1310" t="s">
        <v>3042</v>
      </c>
      <c r="F525" s="1310" t="s">
        <v>1952</v>
      </c>
      <c r="G525" s="1323">
        <v>1.5</v>
      </c>
      <c r="H525" s="486" t="e">
        <f t="array" aca="1" ref="H525" ca="1">+_xludf.IFS(E525="100% Presencial",1, E525="20% Teletrabajo (4 días a la semana)",0.8,E525="40% Teletrabajo (3 días a la semana)",0.6,E525="60% Teletrabajo (2 días a la semana)",0.4,E525="80% Teletrabajo (1 día a la semana)",0.2,E525="100% Teletrabajo",0)</f>
        <v>#NAME?</v>
      </c>
      <c r="I525" s="486" t="e">
        <f t="array" aca="1" ref="I525" ca="1">+_xludf.IFS(F525="Vehículo - Uso individual","Auto",F525="Vehículo - Uso compartido","Auto",F525="Transporte público/bus de acercamiento","Bus",F525="Moto","Moto",F525="Bicicleta o caminando","Bicicleta",F525="Ninguno, pues realicé 100% teletrabajo","No aplica",F525="Moto eléctrica","Moto eléctrica",F525="Vehículo eléctrico - Uso Individual","Vehículo eléctrico",F525="Vehículo eléctrico - Uso Compartido","Vehículo eléctrico")</f>
        <v>#NAME?</v>
      </c>
      <c r="J525" s="486">
        <v>1</v>
      </c>
      <c r="K525" s="1324" t="e">
        <f t="shared" ca="1" si="5"/>
        <v>#NAME?</v>
      </c>
      <c r="L525" s="1325">
        <f ca="1">+IFERROR(VLOOKUP(I525,'Factores Emisión EDGE'!$K$267:$L$272,2,0),0)</f>
        <v>0</v>
      </c>
      <c r="M525" s="1325" t="e">
        <f t="shared" ca="1" si="6"/>
        <v>#NAME?</v>
      </c>
      <c r="N525" s="486" t="s">
        <v>3056</v>
      </c>
      <c r="O525" s="1312"/>
      <c r="P525" s="1312"/>
    </row>
    <row r="526" spans="1:16" ht="15.75" customHeight="1">
      <c r="A526" s="1314">
        <v>44939.428497523149</v>
      </c>
      <c r="B526" s="1310" t="s">
        <v>3819</v>
      </c>
      <c r="C526" s="1310" t="s">
        <v>3820</v>
      </c>
      <c r="D526" s="1310" t="s">
        <v>3664</v>
      </c>
      <c r="E526" s="1310" t="s">
        <v>3042</v>
      </c>
      <c r="F526" s="1310" t="s">
        <v>1952</v>
      </c>
      <c r="G526" s="1323">
        <v>1.4</v>
      </c>
      <c r="H526" s="486" t="e">
        <f t="array" aca="1" ref="H526" ca="1">+_xludf.IFS(E526="100% Presencial",1, E526="20% Teletrabajo (4 días a la semana)",0.8,E526="40% Teletrabajo (3 días a la semana)",0.6,E526="60% Teletrabajo (2 días a la semana)",0.4,E526="80% Teletrabajo (1 día a la semana)",0.2,E526="100% Teletrabajo",0)</f>
        <v>#NAME?</v>
      </c>
      <c r="I526" s="486" t="e">
        <f t="array" aca="1" ref="I526" ca="1">+_xludf.IFS(F526="Vehículo - Uso individual","Auto",F526="Vehículo - Uso compartido","Auto",F526="Transporte público/bus de acercamiento","Bus",F526="Moto","Moto",F526="Bicicleta o caminando","Bicicleta",F526="Ninguno, pues realicé 100% teletrabajo","No aplica",F526="Moto eléctrica","Moto eléctrica",F526="Vehículo eléctrico - Uso Individual","Vehículo eléctrico",F526="Vehículo eléctrico - Uso Compartido","Vehículo eléctrico")</f>
        <v>#NAME?</v>
      </c>
      <c r="J526" s="486">
        <v>1</v>
      </c>
      <c r="K526" s="1324" t="e">
        <f t="shared" ca="1" si="5"/>
        <v>#NAME?</v>
      </c>
      <c r="L526" s="1325">
        <f ca="1">+IFERROR(VLOOKUP(I526,'Factores Emisión EDGE'!$K$267:$L$272,2,0),0)</f>
        <v>0</v>
      </c>
      <c r="M526" s="1325" t="e">
        <f t="shared" ca="1" si="6"/>
        <v>#NAME?</v>
      </c>
      <c r="N526" s="486" t="s">
        <v>3043</v>
      </c>
      <c r="O526" s="1312"/>
      <c r="P526" s="1312"/>
    </row>
    <row r="527" spans="1:16" ht="15.75" customHeight="1">
      <c r="A527" s="1314">
        <v>44930.448911956017</v>
      </c>
      <c r="B527" s="1310" t="s">
        <v>3821</v>
      </c>
      <c r="C527" s="1310" t="s">
        <v>3784</v>
      </c>
      <c r="D527" s="1310" t="s">
        <v>3162</v>
      </c>
      <c r="E527" s="1310" t="s">
        <v>3042</v>
      </c>
      <c r="F527" s="1310" t="s">
        <v>3055</v>
      </c>
      <c r="G527" s="1323">
        <v>1.4</v>
      </c>
      <c r="H527" s="486" t="e">
        <f t="array" aca="1" ref="H527" ca="1">+_xludf.IFS(E527="100% Presencial",1, E527="20% Teletrabajo (4 días a la semana)",0.8,E527="40% Teletrabajo (3 días a la semana)",0.6,E527="60% Teletrabajo (2 días a la semana)",0.4,E527="80% Teletrabajo (1 día a la semana)",0.2,E527="100% Teletrabajo",0)</f>
        <v>#NAME?</v>
      </c>
      <c r="I527" s="486" t="e">
        <f t="array" aca="1" ref="I527" ca="1">+_xludf.IFS(F527="Vehículo - Uso individual","Auto",F527="Vehículo - Uso compartido","Auto",F527="Transporte público/bus de acercamiento","Bus",F527="Moto","Moto",F527="Bicicleta o caminando","Bicicleta",F527="Ninguno, pues realicé 100% teletrabajo","No aplica",F527="Moto eléctrica","Moto eléctrica",F527="Vehículo eléctrico - Uso Individual","Vehículo eléctrico",F527="Vehículo eléctrico - Uso Compartido","Vehículo eléctrico")</f>
        <v>#NAME?</v>
      </c>
      <c r="J527" s="486">
        <v>1</v>
      </c>
      <c r="K527" s="1324" t="e">
        <f t="shared" ca="1" si="5"/>
        <v>#NAME?</v>
      </c>
      <c r="L527" s="1325">
        <f ca="1">+IFERROR(VLOOKUP(I527,'Factores Emisión EDGE'!$K$267:$L$272,2,0),0)</f>
        <v>0</v>
      </c>
      <c r="M527" s="1325" t="e">
        <f t="shared" ca="1" si="6"/>
        <v>#NAME?</v>
      </c>
      <c r="N527" s="486" t="s">
        <v>3056</v>
      </c>
      <c r="O527" s="1312"/>
      <c r="P527" s="1312"/>
    </row>
    <row r="528" spans="1:16" ht="15.75" customHeight="1">
      <c r="A528" s="1314">
        <v>44939.388889849535</v>
      </c>
      <c r="B528" s="1310" t="s">
        <v>3822</v>
      </c>
      <c r="C528" s="1310" t="s">
        <v>3823</v>
      </c>
      <c r="D528" s="1310" t="s">
        <v>3048</v>
      </c>
      <c r="E528" s="1310" t="s">
        <v>3042</v>
      </c>
      <c r="F528" s="1310" t="s">
        <v>1983</v>
      </c>
      <c r="G528" s="1323">
        <v>1.2</v>
      </c>
      <c r="H528" s="486" t="e">
        <f t="array" aca="1" ref="H528" ca="1">+_xludf.IFS(E528="100% Presencial",1, E528="20% Teletrabajo (4 días a la semana)",0.8,E528="40% Teletrabajo (3 días a la semana)",0.6,E528="60% Teletrabajo (2 días a la semana)",0.4,E528="80% Teletrabajo (1 día a la semana)",0.2,E528="100% Teletrabajo",0)</f>
        <v>#NAME?</v>
      </c>
      <c r="I528" s="486" t="e">
        <f t="array" aca="1" ref="I528" ca="1">+_xludf.IFS(F528="Vehículo - Uso individual","Auto",F528="Vehículo - Uso compartido","Auto",F528="Transporte público/bus de acercamiento","Bus",F528="Moto","Moto",F528="Bicicleta o caminando","Bicicleta",F528="Ninguno, pues realicé 100% teletrabajo","No aplica",F528="Moto eléctrica","Moto eléctrica",F528="Vehículo eléctrico - Uso Individual","Vehículo eléctrico",F528="Vehículo eléctrico - Uso Compartido","Vehículo eléctrico")</f>
        <v>#NAME?</v>
      </c>
      <c r="J528" s="486">
        <v>1</v>
      </c>
      <c r="K528" s="1324" t="e">
        <f t="shared" ca="1" si="5"/>
        <v>#NAME?</v>
      </c>
      <c r="L528" s="1325">
        <f ca="1">+IFERROR(VLOOKUP(I528,'Factores Emisión EDGE'!$K$267:$L$272,2,0),0)</f>
        <v>0</v>
      </c>
      <c r="M528" s="1325" t="e">
        <f t="shared" ca="1" si="6"/>
        <v>#NAME?</v>
      </c>
      <c r="N528" s="486" t="s">
        <v>3043</v>
      </c>
      <c r="O528" s="1312"/>
      <c r="P528" s="1312"/>
    </row>
    <row r="529" spans="1:16" ht="15.75" customHeight="1">
      <c r="A529" s="1314">
        <v>44930.524575659721</v>
      </c>
      <c r="B529" s="1310" t="s">
        <v>3727</v>
      </c>
      <c r="C529" s="1310" t="s">
        <v>3728</v>
      </c>
      <c r="D529" s="1310" t="s">
        <v>3054</v>
      </c>
      <c r="E529" s="1310" t="s">
        <v>3042</v>
      </c>
      <c r="F529" s="1310" t="s">
        <v>1952</v>
      </c>
      <c r="G529" s="1323">
        <v>1.2</v>
      </c>
      <c r="H529" s="486" t="e">
        <f t="array" aca="1" ref="H529" ca="1">+_xludf.IFS(E529="100% Presencial",1, E529="20% Teletrabajo (4 días a la semana)",0.8,E529="40% Teletrabajo (3 días a la semana)",0.6,E529="60% Teletrabajo (2 días a la semana)",0.4,E529="80% Teletrabajo (1 día a la semana)",0.2,E529="100% Teletrabajo",0)</f>
        <v>#NAME?</v>
      </c>
      <c r="I529" s="486" t="e">
        <f t="array" aca="1" ref="I529" ca="1">+_xludf.IFS(F529="Vehículo - Uso individual","Auto",F529="Vehículo - Uso compartido","Auto",F529="Transporte público/bus de acercamiento","Bus",F529="Moto","Moto",F529="Bicicleta o caminando","Bicicleta",F529="Ninguno, pues realicé 100% teletrabajo","No aplica",F529="Moto eléctrica","Moto eléctrica",F529="Vehículo eléctrico - Uso Individual","Vehículo eléctrico",F529="Vehículo eléctrico - Uso Compartido","Vehículo eléctrico")</f>
        <v>#NAME?</v>
      </c>
      <c r="J529" s="486">
        <v>1</v>
      </c>
      <c r="K529" s="1324" t="e">
        <f t="shared" ca="1" si="5"/>
        <v>#NAME?</v>
      </c>
      <c r="L529" s="1325">
        <f ca="1">+IFERROR(VLOOKUP(I529,'Factores Emisión EDGE'!$K$267:$L$272,2,0),0)</f>
        <v>0</v>
      </c>
      <c r="M529" s="1325" t="e">
        <f t="shared" ca="1" si="6"/>
        <v>#NAME?</v>
      </c>
      <c r="N529" s="486" t="s">
        <v>3056</v>
      </c>
      <c r="O529" s="1312"/>
      <c r="P529" s="1312"/>
    </row>
    <row r="530" spans="1:16" ht="15.75" customHeight="1">
      <c r="A530" s="1314">
        <v>44929.51428909722</v>
      </c>
      <c r="B530" s="1310" t="s">
        <v>3824</v>
      </c>
      <c r="C530" s="1310" t="s">
        <v>2918</v>
      </c>
      <c r="D530" s="1310" t="s">
        <v>3063</v>
      </c>
      <c r="E530" s="1310" t="s">
        <v>3042</v>
      </c>
      <c r="F530" s="1310" t="s">
        <v>1952</v>
      </c>
      <c r="G530" s="1323">
        <v>1</v>
      </c>
      <c r="H530" s="486" t="e">
        <f t="array" aca="1" ref="H530" ca="1">+_xludf.IFS(E530="100% Presencial",1, E530="20% Teletrabajo (4 días a la semana)",0.8,E530="40% Teletrabajo (3 días a la semana)",0.6,E530="60% Teletrabajo (2 días a la semana)",0.4,E530="80% Teletrabajo (1 día a la semana)",0.2,E530="100% Teletrabajo",0)</f>
        <v>#NAME?</v>
      </c>
      <c r="I530" s="486" t="e">
        <f t="array" aca="1" ref="I530" ca="1">+_xludf.IFS(F530="Vehículo - Uso individual","Auto",F530="Vehículo - Uso compartido","Auto",F530="Transporte público/bus de acercamiento","Bus",F530="Moto","Moto",F530="Bicicleta o caminando","Bicicleta",F530="Ninguno, pues realicé 100% teletrabajo","No aplica",F530="Moto eléctrica","Moto eléctrica",F530="Vehículo eléctrico - Uso Individual","Vehículo eléctrico",F530="Vehículo eléctrico - Uso Compartido","Vehículo eléctrico")</f>
        <v>#NAME?</v>
      </c>
      <c r="J530" s="486">
        <v>1</v>
      </c>
      <c r="K530" s="1324" t="e">
        <f t="shared" ca="1" si="5"/>
        <v>#NAME?</v>
      </c>
      <c r="L530" s="1325">
        <f ca="1">+IFERROR(VLOOKUP(I530,'Factores Emisión EDGE'!$K$267:$L$272,2,0),0)</f>
        <v>0</v>
      </c>
      <c r="M530" s="1325" t="e">
        <f t="shared" ca="1" si="6"/>
        <v>#NAME?</v>
      </c>
      <c r="N530" s="486" t="s">
        <v>3043</v>
      </c>
      <c r="O530" s="1312"/>
      <c r="P530" s="1312"/>
    </row>
    <row r="531" spans="1:16" ht="15.75" customHeight="1">
      <c r="A531" s="1314">
        <v>44930.730325821758</v>
      </c>
      <c r="B531" s="1310" t="s">
        <v>3825</v>
      </c>
      <c r="C531" s="1310" t="s">
        <v>3826</v>
      </c>
      <c r="D531" s="1310" t="s">
        <v>3292</v>
      </c>
      <c r="E531" s="1310" t="s">
        <v>3042</v>
      </c>
      <c r="F531" s="1310" t="s">
        <v>1983</v>
      </c>
      <c r="G531" s="1323">
        <v>1</v>
      </c>
      <c r="H531" s="486" t="e">
        <f t="array" aca="1" ref="H531" ca="1">+_xludf.IFS(E531="100% Presencial",1, E531="20% Teletrabajo (4 días a la semana)",0.8,E531="40% Teletrabajo (3 días a la semana)",0.6,E531="60% Teletrabajo (2 días a la semana)",0.4,E531="80% Teletrabajo (1 día a la semana)",0.2,E531="100% Teletrabajo",0)</f>
        <v>#NAME?</v>
      </c>
      <c r="I531" s="486" t="e">
        <f t="array" aca="1" ref="I531" ca="1">+_xludf.IFS(F531="Vehículo - Uso individual","Auto",F531="Vehículo - Uso compartido","Auto",F531="Transporte público/bus de acercamiento","Bus",F531="Moto","Moto",F531="Bicicleta o caminando","Bicicleta",F531="Ninguno, pues realicé 100% teletrabajo","No aplica",F531="Moto eléctrica","Moto eléctrica",F531="Vehículo eléctrico - Uso Individual","Vehículo eléctrico",F531="Vehículo eléctrico - Uso Compartido","Vehículo eléctrico")</f>
        <v>#NAME?</v>
      </c>
      <c r="J531" s="486">
        <v>1</v>
      </c>
      <c r="K531" s="1324" t="e">
        <f t="shared" ca="1" si="5"/>
        <v>#NAME?</v>
      </c>
      <c r="L531" s="1325">
        <f ca="1">+IFERROR(VLOOKUP(I531,'Factores Emisión EDGE'!$K$267:$L$272,2,0),0)</f>
        <v>0</v>
      </c>
      <c r="M531" s="1325" t="e">
        <f t="shared" ca="1" si="6"/>
        <v>#NAME?</v>
      </c>
      <c r="N531" s="486" t="s">
        <v>3056</v>
      </c>
      <c r="O531" s="1312"/>
      <c r="P531" s="1312"/>
    </row>
    <row r="532" spans="1:16" ht="15.75" customHeight="1">
      <c r="A532" s="1314">
        <v>44938.547379895834</v>
      </c>
      <c r="B532" s="1310" t="s">
        <v>3827</v>
      </c>
      <c r="C532" s="1310" t="s">
        <v>3828</v>
      </c>
      <c r="D532" s="1310" t="s">
        <v>3162</v>
      </c>
      <c r="E532" s="1310" t="s">
        <v>3042</v>
      </c>
      <c r="F532" s="1310" t="s">
        <v>3055</v>
      </c>
      <c r="G532" s="1323">
        <v>1</v>
      </c>
      <c r="H532" s="486" t="e">
        <f t="array" aca="1" ref="H532" ca="1">+_xludf.IFS(E532="100% Presencial",1, E532="20% Teletrabajo (4 días a la semana)",0.8,E532="40% Teletrabajo (3 días a la semana)",0.6,E532="60% Teletrabajo (2 días a la semana)",0.4,E532="80% Teletrabajo (1 día a la semana)",0.2,E532="100% Teletrabajo",0)</f>
        <v>#NAME?</v>
      </c>
      <c r="I532" s="486" t="e">
        <f t="array" aca="1" ref="I532" ca="1">+_xludf.IFS(F532="Vehículo - Uso individual","Auto",F532="Vehículo - Uso compartido","Auto",F532="Transporte público/bus de acercamiento","Bus",F532="Moto","Moto",F532="Bicicleta o caminando","Bicicleta",F532="Ninguno, pues realicé 100% teletrabajo","No aplica",F532="Moto eléctrica","Moto eléctrica",F532="Vehículo eléctrico - Uso Individual","Vehículo eléctrico",F532="Vehículo eléctrico - Uso Compartido","Vehículo eléctrico")</f>
        <v>#NAME?</v>
      </c>
      <c r="J532" s="486">
        <v>1</v>
      </c>
      <c r="K532" s="1324" t="e">
        <f t="shared" ca="1" si="5"/>
        <v>#NAME?</v>
      </c>
      <c r="L532" s="1325">
        <f ca="1">+IFERROR(VLOOKUP(I532,'Factores Emisión EDGE'!$K$267:$L$272,2,0),0)</f>
        <v>0</v>
      </c>
      <c r="M532" s="1325" t="e">
        <f t="shared" ca="1" si="6"/>
        <v>#NAME?</v>
      </c>
      <c r="N532" s="486" t="s">
        <v>3056</v>
      </c>
      <c r="O532" s="1312"/>
      <c r="P532" s="1312"/>
    </row>
    <row r="533" spans="1:16" ht="15.75" customHeight="1">
      <c r="A533" s="1314">
        <v>44930.498119525466</v>
      </c>
      <c r="B533" s="1310" t="s">
        <v>3829</v>
      </c>
      <c r="C533" s="1310" t="s">
        <v>3830</v>
      </c>
      <c r="D533" s="1310" t="s">
        <v>3080</v>
      </c>
      <c r="E533" s="1310" t="s">
        <v>3042</v>
      </c>
      <c r="F533" s="1310" t="s">
        <v>3055</v>
      </c>
      <c r="G533" s="1323">
        <v>1</v>
      </c>
      <c r="H533" s="486" t="e">
        <f t="array" aca="1" ref="H533" ca="1">+_xludf.IFS(E533="100% Presencial",1, E533="20% Teletrabajo (4 días a la semana)",0.8,E533="40% Teletrabajo (3 días a la semana)",0.6,E533="60% Teletrabajo (2 días a la semana)",0.4,E533="80% Teletrabajo (1 día a la semana)",0.2,E533="100% Teletrabajo",0)</f>
        <v>#NAME?</v>
      </c>
      <c r="I533" s="486" t="e">
        <f t="array" aca="1" ref="I533" ca="1">+_xludf.IFS(F533="Vehículo - Uso individual","Auto",F533="Vehículo - Uso compartido","Auto",F533="Transporte público/bus de acercamiento","Bus",F533="Moto","Moto",F533="Bicicleta o caminando","Bicicleta",F533="Ninguno, pues realicé 100% teletrabajo","No aplica",F533="Moto eléctrica","Moto eléctrica",F533="Vehículo eléctrico - Uso Individual","Vehículo eléctrico",F533="Vehículo eléctrico - Uso Compartido","Vehículo eléctrico")</f>
        <v>#NAME?</v>
      </c>
      <c r="J533" s="486">
        <v>1</v>
      </c>
      <c r="K533" s="1324" t="e">
        <f t="shared" ca="1" si="5"/>
        <v>#NAME?</v>
      </c>
      <c r="L533" s="1325">
        <f ca="1">+IFERROR(VLOOKUP(I533,'Factores Emisión EDGE'!$K$267:$L$272,2,0),0)</f>
        <v>0</v>
      </c>
      <c r="M533" s="1325" t="e">
        <f t="shared" ca="1" si="6"/>
        <v>#NAME?</v>
      </c>
      <c r="N533" s="486" t="s">
        <v>3056</v>
      </c>
      <c r="O533" s="1312"/>
      <c r="P533" s="1312"/>
    </row>
    <row r="534" spans="1:16" ht="15.75" customHeight="1">
      <c r="A534" s="1314">
        <v>44930.460516388892</v>
      </c>
      <c r="B534" s="1310" t="s">
        <v>3831</v>
      </c>
      <c r="C534" s="1310" t="s">
        <v>3832</v>
      </c>
      <c r="D534" s="1310" t="s">
        <v>3048</v>
      </c>
      <c r="E534" s="1310" t="s">
        <v>3042</v>
      </c>
      <c r="F534" s="1310" t="s">
        <v>3055</v>
      </c>
      <c r="G534" s="1323">
        <v>1</v>
      </c>
      <c r="H534" s="486" t="e">
        <f t="array" aca="1" ref="H534" ca="1">+_xludf.IFS(E534="100% Presencial",1, E534="20% Teletrabajo (4 días a la semana)",0.8,E534="40% Teletrabajo (3 días a la semana)",0.6,E534="60% Teletrabajo (2 días a la semana)",0.4,E534="80% Teletrabajo (1 día a la semana)",0.2,E534="100% Teletrabajo",0)</f>
        <v>#NAME?</v>
      </c>
      <c r="I534" s="486" t="e">
        <f t="array" aca="1" ref="I534" ca="1">+_xludf.IFS(F534="Vehículo - Uso individual","Auto",F534="Vehículo - Uso compartido","Auto",F534="Transporte público/bus de acercamiento","Bus",F534="Moto","Moto",F534="Bicicleta o caminando","Bicicleta",F534="Ninguno, pues realicé 100% teletrabajo","No aplica",F534="Moto eléctrica","Moto eléctrica",F534="Vehículo eléctrico - Uso Individual","Vehículo eléctrico",F534="Vehículo eléctrico - Uso Compartido","Vehículo eléctrico")</f>
        <v>#NAME?</v>
      </c>
      <c r="J534" s="486">
        <v>1</v>
      </c>
      <c r="K534" s="1324" t="e">
        <f t="shared" ca="1" si="5"/>
        <v>#NAME?</v>
      </c>
      <c r="L534" s="1325">
        <f ca="1">+IFERROR(VLOOKUP(I534,'Factores Emisión EDGE'!$K$267:$L$272,2,0),0)</f>
        <v>0</v>
      </c>
      <c r="M534" s="1325" t="e">
        <f t="shared" ca="1" si="6"/>
        <v>#NAME?</v>
      </c>
      <c r="N534" s="486" t="s">
        <v>3056</v>
      </c>
      <c r="O534" s="1312"/>
      <c r="P534" s="1312"/>
    </row>
    <row r="535" spans="1:16" ht="15.75" customHeight="1">
      <c r="A535" s="1314">
        <v>44935.436913622689</v>
      </c>
      <c r="B535" s="1310" t="s">
        <v>3833</v>
      </c>
      <c r="C535" s="1310" t="s">
        <v>3834</v>
      </c>
      <c r="D535" s="1310" t="s">
        <v>3046</v>
      </c>
      <c r="E535" s="1310" t="s">
        <v>3042</v>
      </c>
      <c r="F535" s="1310" t="s">
        <v>1952</v>
      </c>
      <c r="G535" s="1323">
        <v>1</v>
      </c>
      <c r="H535" s="486" t="e">
        <f t="array" aca="1" ref="H535" ca="1">+_xludf.IFS(E535="100% Presencial",1, E535="20% Teletrabajo (4 días a la semana)",0.8,E535="40% Teletrabajo (3 días a la semana)",0.6,E535="60% Teletrabajo (2 días a la semana)",0.4,E535="80% Teletrabajo (1 día a la semana)",0.2,E535="100% Teletrabajo",0)</f>
        <v>#NAME?</v>
      </c>
      <c r="I535" s="486" t="e">
        <f t="array" aca="1" ref="I535" ca="1">+_xludf.IFS(F535="Vehículo - Uso individual","Auto",F535="Vehículo - Uso compartido","Auto",F535="Transporte público/bus de acercamiento","Bus",F535="Moto","Moto",F535="Bicicleta o caminando","Bicicleta",F535="Ninguno, pues realicé 100% teletrabajo","No aplica",F535="Moto eléctrica","Moto eléctrica",F535="Vehículo eléctrico - Uso Individual","Vehículo eléctrico",F535="Vehículo eléctrico - Uso Compartido","Vehículo eléctrico")</f>
        <v>#NAME?</v>
      </c>
      <c r="J535" s="486">
        <v>1</v>
      </c>
      <c r="K535" s="1324" t="e">
        <f t="shared" ca="1" si="5"/>
        <v>#NAME?</v>
      </c>
      <c r="L535" s="1325">
        <f ca="1">+IFERROR(VLOOKUP(I535,'Factores Emisión EDGE'!$K$267:$L$272,2,0),0)</f>
        <v>0</v>
      </c>
      <c r="M535" s="1325" t="e">
        <f t="shared" ca="1" si="6"/>
        <v>#NAME?</v>
      </c>
      <c r="N535" s="486" t="s">
        <v>3056</v>
      </c>
      <c r="O535" s="1312"/>
      <c r="P535" s="1312"/>
    </row>
    <row r="536" spans="1:16" ht="15.75" customHeight="1">
      <c r="A536" s="1314">
        <v>44938.548201678241</v>
      </c>
      <c r="B536" s="1310" t="s">
        <v>3835</v>
      </c>
      <c r="C536" s="1310" t="s">
        <v>3830</v>
      </c>
      <c r="D536" s="1310" t="s">
        <v>3080</v>
      </c>
      <c r="E536" s="1310" t="s">
        <v>3042</v>
      </c>
      <c r="F536" s="1310" t="s">
        <v>3055</v>
      </c>
      <c r="G536" s="1323">
        <v>1</v>
      </c>
      <c r="H536" s="486" t="e">
        <f t="array" aca="1" ref="H536" ca="1">+_xludf.IFS(E536="100% Presencial",1, E536="20% Teletrabajo (4 días a la semana)",0.8,E536="40% Teletrabajo (3 días a la semana)",0.6,E536="60% Teletrabajo (2 días a la semana)",0.4,E536="80% Teletrabajo (1 día a la semana)",0.2,E536="100% Teletrabajo",0)</f>
        <v>#NAME?</v>
      </c>
      <c r="I536" s="486" t="e">
        <f t="array" aca="1" ref="I536" ca="1">+_xludf.IFS(F536="Vehículo - Uso individual","Auto",F536="Vehículo - Uso compartido","Auto",F536="Transporte público/bus de acercamiento","Bus",F536="Moto","Moto",F536="Bicicleta o caminando","Bicicleta",F536="Ninguno, pues realicé 100% teletrabajo","No aplica",F536="Moto eléctrica","Moto eléctrica",F536="Vehículo eléctrico - Uso Individual","Vehículo eléctrico",F536="Vehículo eléctrico - Uso Compartido","Vehículo eléctrico")</f>
        <v>#NAME?</v>
      </c>
      <c r="J536" s="486">
        <v>1</v>
      </c>
      <c r="K536" s="1324" t="e">
        <f t="shared" ca="1" si="5"/>
        <v>#NAME?</v>
      </c>
      <c r="L536" s="1325">
        <f ca="1">+IFERROR(VLOOKUP(I536,'Factores Emisión EDGE'!$K$267:$L$272,2,0),0)</f>
        <v>0</v>
      </c>
      <c r="M536" s="1325" t="e">
        <f t="shared" ca="1" si="6"/>
        <v>#NAME?</v>
      </c>
      <c r="N536" s="486" t="s">
        <v>3056</v>
      </c>
      <c r="O536" s="1312"/>
      <c r="P536" s="1312"/>
    </row>
    <row r="537" spans="1:16" ht="15.75" customHeight="1">
      <c r="A537" s="1314">
        <v>44939.662707939817</v>
      </c>
      <c r="B537" s="1310" t="s">
        <v>3836</v>
      </c>
      <c r="C537" s="1310" t="s">
        <v>3837</v>
      </c>
      <c r="D537" s="1310" t="s">
        <v>3265</v>
      </c>
      <c r="E537" s="1310" t="s">
        <v>3042</v>
      </c>
      <c r="F537" s="1310" t="s">
        <v>1952</v>
      </c>
      <c r="G537" s="1323">
        <v>1</v>
      </c>
      <c r="H537" s="486" t="e">
        <f t="array" aca="1" ref="H537" ca="1">+_xludf.IFS(E537="100% Presencial",1, E537="20% Teletrabajo (4 días a la semana)",0.8,E537="40% Teletrabajo (3 días a la semana)",0.6,E537="60% Teletrabajo (2 días a la semana)",0.4,E537="80% Teletrabajo (1 día a la semana)",0.2,E537="100% Teletrabajo",0)</f>
        <v>#NAME?</v>
      </c>
      <c r="I537" s="486" t="e">
        <f t="array" aca="1" ref="I537" ca="1">+_xludf.IFS(F537="Vehículo - Uso individual","Auto",F537="Vehículo - Uso compartido","Auto",F537="Transporte público/bus de acercamiento","Bus",F537="Moto","Moto",F537="Bicicleta o caminando","Bicicleta",F537="Ninguno, pues realicé 100% teletrabajo","No aplica",F537="Moto eléctrica","Moto eléctrica",F537="Vehículo eléctrico - Uso Individual","Vehículo eléctrico",F537="Vehículo eléctrico - Uso Compartido","Vehículo eléctrico")</f>
        <v>#NAME?</v>
      </c>
      <c r="J537" s="486">
        <v>1</v>
      </c>
      <c r="K537" s="1324" t="e">
        <f t="shared" ca="1" si="5"/>
        <v>#NAME?</v>
      </c>
      <c r="L537" s="1325">
        <f ca="1">+IFERROR(VLOOKUP(I537,'Factores Emisión EDGE'!$K$267:$L$272,2,0),0)</f>
        <v>0</v>
      </c>
      <c r="M537" s="1325" t="e">
        <f t="shared" ca="1" si="6"/>
        <v>#NAME?</v>
      </c>
      <c r="N537" s="486" t="s">
        <v>3056</v>
      </c>
      <c r="O537" s="1312"/>
      <c r="P537" s="1312"/>
    </row>
    <row r="538" spans="1:16" ht="15.75" customHeight="1">
      <c r="A538" s="1314">
        <v>44939.459411087963</v>
      </c>
      <c r="B538" s="1310" t="s">
        <v>3838</v>
      </c>
      <c r="C538" s="1310" t="s">
        <v>3839</v>
      </c>
      <c r="D538" s="1310" t="s">
        <v>3048</v>
      </c>
      <c r="E538" s="1310" t="s">
        <v>3042</v>
      </c>
      <c r="F538" s="1310" t="s">
        <v>1983</v>
      </c>
      <c r="G538" s="1323">
        <v>1</v>
      </c>
      <c r="H538" s="486" t="e">
        <f t="array" aca="1" ref="H538" ca="1">+_xludf.IFS(E538="100% Presencial",1, E538="20% Teletrabajo (4 días a la semana)",0.8,E538="40% Teletrabajo (3 días a la semana)",0.6,E538="60% Teletrabajo (2 días a la semana)",0.4,E538="80% Teletrabajo (1 día a la semana)",0.2,E538="100% Teletrabajo",0)</f>
        <v>#NAME?</v>
      </c>
      <c r="I538" s="486" t="e">
        <f t="array" aca="1" ref="I538" ca="1">+_xludf.IFS(F538="Vehículo - Uso individual","Auto",F538="Vehículo - Uso compartido","Auto",F538="Transporte público/bus de acercamiento","Bus",F538="Moto","Moto",F538="Bicicleta o caminando","Bicicleta",F538="Ninguno, pues realicé 100% teletrabajo","No aplica",F538="Moto eléctrica","Moto eléctrica",F538="Vehículo eléctrico - Uso Individual","Vehículo eléctrico",F538="Vehículo eléctrico - Uso Compartido","Vehículo eléctrico")</f>
        <v>#NAME?</v>
      </c>
      <c r="J538" s="486">
        <v>1</v>
      </c>
      <c r="K538" s="1324" t="e">
        <f t="shared" ca="1" si="5"/>
        <v>#NAME?</v>
      </c>
      <c r="L538" s="1325">
        <f ca="1">+IFERROR(VLOOKUP(I538,'Factores Emisión EDGE'!$K$267:$L$272,2,0),0)</f>
        <v>0</v>
      </c>
      <c r="M538" s="1325" t="e">
        <f t="shared" ca="1" si="6"/>
        <v>#NAME?</v>
      </c>
      <c r="N538" s="486" t="s">
        <v>3056</v>
      </c>
      <c r="O538" s="1312"/>
      <c r="P538" s="1312"/>
    </row>
    <row r="539" spans="1:16" ht="15.75" customHeight="1">
      <c r="A539" s="1314">
        <v>44938.556524525462</v>
      </c>
      <c r="B539" s="1310" t="s">
        <v>3840</v>
      </c>
      <c r="C539" s="1310" t="s">
        <v>3841</v>
      </c>
      <c r="D539" s="1310" t="s">
        <v>3107</v>
      </c>
      <c r="E539" s="1310" t="s">
        <v>3042</v>
      </c>
      <c r="F539" s="1310" t="s">
        <v>1983</v>
      </c>
      <c r="G539" s="1323">
        <v>1</v>
      </c>
      <c r="H539" s="486" t="e">
        <f t="array" aca="1" ref="H539" ca="1">+_xludf.IFS(E539="100% Presencial",1, E539="20% Teletrabajo (4 días a la semana)",0.8,E539="40% Teletrabajo (3 días a la semana)",0.6,E539="60% Teletrabajo (2 días a la semana)",0.4,E539="80% Teletrabajo (1 día a la semana)",0.2,E539="100% Teletrabajo",0)</f>
        <v>#NAME?</v>
      </c>
      <c r="I539" s="486" t="e">
        <f t="array" aca="1" ref="I539" ca="1">+_xludf.IFS(F539="Vehículo - Uso individual","Auto",F539="Vehículo - Uso compartido","Auto",F539="Transporte público/bus de acercamiento","Bus",F539="Moto","Moto",F539="Bicicleta o caminando","Bicicleta",F539="Ninguno, pues realicé 100% teletrabajo","No aplica",F539="Moto eléctrica","Moto eléctrica",F539="Vehículo eléctrico - Uso Individual","Vehículo eléctrico",F539="Vehículo eléctrico - Uso Compartido","Vehículo eléctrico")</f>
        <v>#NAME?</v>
      </c>
      <c r="J539" s="486">
        <v>1</v>
      </c>
      <c r="K539" s="1324" t="e">
        <f t="shared" ca="1" si="5"/>
        <v>#NAME?</v>
      </c>
      <c r="L539" s="1325">
        <f ca="1">+IFERROR(VLOOKUP(I539,'Factores Emisión EDGE'!$K$267:$L$272,2,0),0)</f>
        <v>0</v>
      </c>
      <c r="M539" s="1325" t="e">
        <f t="shared" ca="1" si="6"/>
        <v>#NAME?</v>
      </c>
      <c r="N539" s="486" t="s">
        <v>3056</v>
      </c>
      <c r="O539" s="1312"/>
      <c r="P539" s="1312"/>
    </row>
    <row r="540" spans="1:16" ht="15.75" customHeight="1">
      <c r="A540" s="1314">
        <v>44937.663887418981</v>
      </c>
      <c r="B540" s="1310" t="s">
        <v>3842</v>
      </c>
      <c r="C540" s="1310" t="s">
        <v>2734</v>
      </c>
      <c r="D540" s="1310" t="s">
        <v>3664</v>
      </c>
      <c r="E540" s="1310" t="s">
        <v>3042</v>
      </c>
      <c r="F540" s="1310" t="s">
        <v>1952</v>
      </c>
      <c r="G540" s="1323">
        <v>1</v>
      </c>
      <c r="H540" s="486" t="e">
        <f t="array" aca="1" ref="H540" ca="1">+_xludf.IFS(E540="100% Presencial",1, E540="20% Teletrabajo (4 días a la semana)",0.8,E540="40% Teletrabajo (3 días a la semana)",0.6,E540="60% Teletrabajo (2 días a la semana)",0.4,E540="80% Teletrabajo (1 día a la semana)",0.2,E540="100% Teletrabajo",0)</f>
        <v>#NAME?</v>
      </c>
      <c r="I540" s="486" t="e">
        <f t="array" aca="1" ref="I540" ca="1">+_xludf.IFS(F540="Vehículo - Uso individual","Auto",F540="Vehículo - Uso compartido","Auto",F540="Transporte público/bus de acercamiento","Bus",F540="Moto","Moto",F540="Bicicleta o caminando","Bicicleta",F540="Ninguno, pues realicé 100% teletrabajo","No aplica",F540="Moto eléctrica","Moto eléctrica",F540="Vehículo eléctrico - Uso Individual","Vehículo eléctrico",F540="Vehículo eléctrico - Uso Compartido","Vehículo eléctrico")</f>
        <v>#NAME?</v>
      </c>
      <c r="J540" s="486">
        <v>1</v>
      </c>
      <c r="K540" s="1324" t="e">
        <f t="shared" ca="1" si="5"/>
        <v>#NAME?</v>
      </c>
      <c r="L540" s="1325">
        <f ca="1">+IFERROR(VLOOKUP(I540,'Factores Emisión EDGE'!$K$267:$L$272,2,0),0)</f>
        <v>0</v>
      </c>
      <c r="M540" s="1325" t="e">
        <f t="shared" ca="1" si="6"/>
        <v>#NAME?</v>
      </c>
      <c r="N540" s="486" t="s">
        <v>3043</v>
      </c>
      <c r="O540" s="1312"/>
      <c r="P540" s="1312"/>
    </row>
    <row r="541" spans="1:16" ht="15.75" customHeight="1">
      <c r="A541" s="1314">
        <v>44930.481383229169</v>
      </c>
      <c r="B541" s="1310" t="s">
        <v>3843</v>
      </c>
      <c r="C541" s="1310" t="s">
        <v>3844</v>
      </c>
      <c r="D541" s="1310" t="s">
        <v>3107</v>
      </c>
      <c r="E541" s="1310" t="s">
        <v>881</v>
      </c>
      <c r="F541" s="1310" t="s">
        <v>1995</v>
      </c>
      <c r="G541" s="1323">
        <v>1</v>
      </c>
      <c r="H541" s="486" t="e">
        <f t="array" aca="1" ref="H541" ca="1">+_xludf.IFS(E541="100% Presencial",1, E541="20% Teletrabajo (4 días a la semana)",0.8,E541="40% Teletrabajo (3 días a la semana)",0.6,E541="60% Teletrabajo (2 días a la semana)",0.4,E541="80% Teletrabajo (1 día a la semana)",0.2,E541="100% Teletrabajo",0)</f>
        <v>#NAME?</v>
      </c>
      <c r="I541" s="486" t="e">
        <f t="array" aca="1" ref="I541" ca="1">+_xludf.IFS(F541="Vehículo - Uso individual","Auto",F541="Vehículo - Uso compartido","Auto",F541="Transporte público/bus de acercamiento","Bus",F541="Moto","Moto",F541="Bicicleta o caminando","Bicicleta",F541="Ninguno, pues realicé 100% teletrabajo","No aplica",F541="Moto eléctrica","Moto eléctrica",F541="Vehículo eléctrico - Uso Individual","Vehículo eléctrico",F541="Vehículo eléctrico - Uso Compartido","Vehículo eléctrico")</f>
        <v>#NAME?</v>
      </c>
      <c r="J541" s="486">
        <v>0.25</v>
      </c>
      <c r="K541" s="1324" t="e">
        <f t="shared" ca="1" si="5"/>
        <v>#NAME?</v>
      </c>
      <c r="L541" s="1325">
        <f ca="1">+IFERROR(VLOOKUP(I541,'Factores Emisión EDGE'!$K$267:$L$272,2,0),0)</f>
        <v>0</v>
      </c>
      <c r="M541" s="1325" t="e">
        <f t="shared" ca="1" si="6"/>
        <v>#NAME?</v>
      </c>
      <c r="N541" s="486" t="s">
        <v>3056</v>
      </c>
      <c r="O541" s="1312"/>
      <c r="P541" s="1312"/>
    </row>
    <row r="542" spans="1:16" ht="15.75" customHeight="1">
      <c r="A542" s="1314">
        <v>44930.50993565972</v>
      </c>
      <c r="B542" s="1310" t="s">
        <v>3845</v>
      </c>
      <c r="C542" s="1310">
        <v>7683526666</v>
      </c>
      <c r="D542" s="1310" t="s">
        <v>3292</v>
      </c>
      <c r="E542" s="1310" t="s">
        <v>3042</v>
      </c>
      <c r="F542" s="1310" t="s">
        <v>3055</v>
      </c>
      <c r="G542" s="1323">
        <v>1</v>
      </c>
      <c r="H542" s="486" t="e">
        <f t="array" aca="1" ref="H542" ca="1">+_xludf.IFS(E542="100% Presencial",1, E542="20% Teletrabajo (4 días a la semana)",0.8,E542="40% Teletrabajo (3 días a la semana)",0.6,E542="60% Teletrabajo (2 días a la semana)",0.4,E542="80% Teletrabajo (1 día a la semana)",0.2,E542="100% Teletrabajo",0)</f>
        <v>#NAME?</v>
      </c>
      <c r="I542" s="486" t="e">
        <f t="array" aca="1" ref="I542" ca="1">+_xludf.IFS(F542="Vehículo - Uso individual","Auto",F542="Vehículo - Uso compartido","Auto",F542="Transporte público/bus de acercamiento","Bus",F542="Moto","Moto",F542="Bicicleta o caminando","Bicicleta",F542="Ninguno, pues realicé 100% teletrabajo","No aplica",F542="Moto eléctrica","Moto eléctrica",F542="Vehículo eléctrico - Uso Individual","Vehículo eléctrico",F542="Vehículo eléctrico - Uso Compartido","Vehículo eléctrico")</f>
        <v>#NAME?</v>
      </c>
      <c r="J542" s="486">
        <v>1</v>
      </c>
      <c r="K542" s="1324" t="e">
        <f t="shared" ca="1" si="5"/>
        <v>#NAME?</v>
      </c>
      <c r="L542" s="1325">
        <f ca="1">+IFERROR(VLOOKUP(I542,'Factores Emisión EDGE'!$K$267:$L$272,2,0),0)</f>
        <v>0</v>
      </c>
      <c r="M542" s="1325" t="e">
        <f t="shared" ca="1" si="6"/>
        <v>#NAME?</v>
      </c>
      <c r="N542" s="486" t="s">
        <v>3056</v>
      </c>
      <c r="O542" s="1312"/>
      <c r="P542" s="1312"/>
    </row>
    <row r="543" spans="1:16" ht="15.75" customHeight="1">
      <c r="A543" s="1314">
        <v>44932.678342685183</v>
      </c>
      <c r="B543" s="1310" t="s">
        <v>3846</v>
      </c>
      <c r="C543" s="1310" t="s">
        <v>3847</v>
      </c>
      <c r="D543" s="1310" t="s">
        <v>3054</v>
      </c>
      <c r="E543" s="1310" t="s">
        <v>3042</v>
      </c>
      <c r="F543" s="1310" t="s">
        <v>1983</v>
      </c>
      <c r="G543" s="1323">
        <v>1</v>
      </c>
      <c r="H543" s="486" t="e">
        <f t="array" aca="1" ref="H543" ca="1">+_xludf.IFS(E543="100% Presencial",1, E543="20% Teletrabajo (4 días a la semana)",0.8,E543="40% Teletrabajo (3 días a la semana)",0.6,E543="60% Teletrabajo (2 días a la semana)",0.4,E543="80% Teletrabajo (1 día a la semana)",0.2,E543="100% Teletrabajo",0)</f>
        <v>#NAME?</v>
      </c>
      <c r="I543" s="486" t="e">
        <f t="array" aca="1" ref="I543" ca="1">+_xludf.IFS(F543="Vehículo - Uso individual","Auto",F543="Vehículo - Uso compartido","Auto",F543="Transporte público/bus de acercamiento","Bus",F543="Moto","Moto",F543="Bicicleta o caminando","Bicicleta",F543="Ninguno, pues realicé 100% teletrabajo","No aplica",F543="Moto eléctrica","Moto eléctrica",F543="Vehículo eléctrico - Uso Individual","Vehículo eléctrico",F543="Vehículo eléctrico - Uso Compartido","Vehículo eléctrico")</f>
        <v>#NAME?</v>
      </c>
      <c r="J543" s="486">
        <v>1</v>
      </c>
      <c r="K543" s="1324" t="e">
        <f t="shared" ca="1" si="5"/>
        <v>#NAME?</v>
      </c>
      <c r="L543" s="1325">
        <f ca="1">+IFERROR(VLOOKUP(I543,'Factores Emisión EDGE'!$K$267:$L$272,2,0),0)</f>
        <v>0</v>
      </c>
      <c r="M543" s="1325" t="e">
        <f t="shared" ca="1" si="6"/>
        <v>#NAME?</v>
      </c>
      <c r="N543" s="486" t="s">
        <v>3056</v>
      </c>
      <c r="O543" s="1312"/>
      <c r="P543" s="1312"/>
    </row>
    <row r="544" spans="1:16" ht="15.75" customHeight="1">
      <c r="A544" s="1314">
        <v>44936.681824004627</v>
      </c>
      <c r="B544" s="1310" t="s">
        <v>3848</v>
      </c>
      <c r="C544" s="1310" t="s">
        <v>3849</v>
      </c>
      <c r="D544" s="1310" t="s">
        <v>3048</v>
      </c>
      <c r="E544" s="1310" t="s">
        <v>3042</v>
      </c>
      <c r="F544" s="1310" t="s">
        <v>1952</v>
      </c>
      <c r="G544" s="1323">
        <v>1</v>
      </c>
      <c r="H544" s="486" t="e">
        <f t="array" aca="1" ref="H544" ca="1">+_xludf.IFS(E544="100% Presencial",1, E544="20% Teletrabajo (4 días a la semana)",0.8,E544="40% Teletrabajo (3 días a la semana)",0.6,E544="60% Teletrabajo (2 días a la semana)",0.4,E544="80% Teletrabajo (1 día a la semana)",0.2,E544="100% Teletrabajo",0)</f>
        <v>#NAME?</v>
      </c>
      <c r="I544" s="486" t="e">
        <f t="array" aca="1" ref="I544" ca="1">+_xludf.IFS(F544="Vehículo - Uso individual","Auto",F544="Vehículo - Uso compartido","Auto",F544="Transporte público/bus de acercamiento","Bus",F544="Moto","Moto",F544="Bicicleta o caminando","Bicicleta",F544="Ninguno, pues realicé 100% teletrabajo","No aplica",F544="Moto eléctrica","Moto eléctrica",F544="Vehículo eléctrico - Uso Individual","Vehículo eléctrico",F544="Vehículo eléctrico - Uso Compartido","Vehículo eléctrico")</f>
        <v>#NAME?</v>
      </c>
      <c r="J544" s="486">
        <v>1</v>
      </c>
      <c r="K544" s="1324" t="e">
        <f t="shared" ca="1" si="5"/>
        <v>#NAME?</v>
      </c>
      <c r="L544" s="1325">
        <f ca="1">+IFERROR(VLOOKUP(I544,'Factores Emisión EDGE'!$K$267:$L$272,2,0),0)</f>
        <v>0</v>
      </c>
      <c r="M544" s="1325" t="e">
        <f t="shared" ca="1" si="6"/>
        <v>#NAME?</v>
      </c>
      <c r="N544" s="486" t="s">
        <v>3056</v>
      </c>
      <c r="O544" s="1312"/>
      <c r="P544" s="1312"/>
    </row>
    <row r="545" spans="1:16" ht="15.75" customHeight="1">
      <c r="A545" s="1314">
        <v>44936.72205788194</v>
      </c>
      <c r="B545" s="1310" t="s">
        <v>3850</v>
      </c>
      <c r="C545" s="1310" t="s">
        <v>3851</v>
      </c>
      <c r="D545" s="1310" t="s">
        <v>3048</v>
      </c>
      <c r="E545" s="1310" t="s">
        <v>3042</v>
      </c>
      <c r="F545" s="1310" t="s">
        <v>1995</v>
      </c>
      <c r="G545" s="1323">
        <v>1</v>
      </c>
      <c r="H545" s="486" t="e">
        <f t="array" aca="1" ref="H545" ca="1">+_xludf.IFS(E545="100% Presencial",1, E545="20% Teletrabajo (4 días a la semana)",0.8,E545="40% Teletrabajo (3 días a la semana)",0.6,E545="60% Teletrabajo (2 días a la semana)",0.4,E545="80% Teletrabajo (1 día a la semana)",0.2,E545="100% Teletrabajo",0)</f>
        <v>#NAME?</v>
      </c>
      <c r="I545" s="486" t="e">
        <f t="array" aca="1" ref="I545" ca="1">+_xludf.IFS(F545="Vehículo - Uso individual","Auto",F545="Vehículo - Uso compartido","Auto",F545="Transporte público/bus de acercamiento","Bus",F545="Moto","Moto",F545="Bicicleta o caminando","Bicicleta",F545="Ninguno, pues realicé 100% teletrabajo","No aplica",F545="Moto eléctrica","Moto eléctrica",F545="Vehículo eléctrico - Uso Individual","Vehículo eléctrico",F545="Vehículo eléctrico - Uso Compartido","Vehículo eléctrico")</f>
        <v>#NAME?</v>
      </c>
      <c r="J545" s="486">
        <v>0.25</v>
      </c>
      <c r="K545" s="1324" t="e">
        <f t="shared" ca="1" si="5"/>
        <v>#NAME?</v>
      </c>
      <c r="L545" s="1325">
        <f ca="1">+IFERROR(VLOOKUP(I545,'Factores Emisión EDGE'!$K$267:$L$272,2,0),0)</f>
        <v>0</v>
      </c>
      <c r="M545" s="1325" t="e">
        <f t="shared" ca="1" si="6"/>
        <v>#NAME?</v>
      </c>
      <c r="N545" s="486" t="s">
        <v>3043</v>
      </c>
      <c r="O545" s="1312"/>
      <c r="P545" s="1312"/>
    </row>
    <row r="546" spans="1:16" ht="15.75" customHeight="1">
      <c r="A546" s="1314">
        <v>44938.54557180556</v>
      </c>
      <c r="B546" s="1310" t="s">
        <v>3852</v>
      </c>
      <c r="C546" s="1310" t="s">
        <v>3826</v>
      </c>
      <c r="D546" s="1310" t="s">
        <v>3292</v>
      </c>
      <c r="E546" s="1310" t="s">
        <v>3042</v>
      </c>
      <c r="F546" s="1310" t="s">
        <v>1983</v>
      </c>
      <c r="G546" s="1323">
        <v>1</v>
      </c>
      <c r="H546" s="486" t="e">
        <f t="array" aca="1" ref="H546" ca="1">+_xludf.IFS(E546="100% Presencial",1, E546="20% Teletrabajo (4 días a la semana)",0.8,E546="40% Teletrabajo (3 días a la semana)",0.6,E546="60% Teletrabajo (2 días a la semana)",0.4,E546="80% Teletrabajo (1 día a la semana)",0.2,E546="100% Teletrabajo",0)</f>
        <v>#NAME?</v>
      </c>
      <c r="I546" s="486" t="e">
        <f t="array" aca="1" ref="I546" ca="1">+_xludf.IFS(F546="Vehículo - Uso individual","Auto",F546="Vehículo - Uso compartido","Auto",F546="Transporte público/bus de acercamiento","Bus",F546="Moto","Moto",F546="Bicicleta o caminando","Bicicleta",F546="Ninguno, pues realicé 100% teletrabajo","No aplica",F546="Moto eléctrica","Moto eléctrica",F546="Vehículo eléctrico - Uso Individual","Vehículo eléctrico",F546="Vehículo eléctrico - Uso Compartido","Vehículo eléctrico")</f>
        <v>#NAME?</v>
      </c>
      <c r="J546" s="486">
        <v>1</v>
      </c>
      <c r="K546" s="1324" t="e">
        <f t="shared" ca="1" si="5"/>
        <v>#NAME?</v>
      </c>
      <c r="L546" s="1325">
        <f ca="1">+IFERROR(VLOOKUP(I546,'Factores Emisión EDGE'!$K$267:$L$272,2,0),0)</f>
        <v>0</v>
      </c>
      <c r="M546" s="1325" t="e">
        <f t="shared" ca="1" si="6"/>
        <v>#NAME?</v>
      </c>
      <c r="N546" s="486" t="s">
        <v>3056</v>
      </c>
      <c r="O546" s="1312"/>
      <c r="P546" s="1312"/>
    </row>
    <row r="547" spans="1:16" ht="15.75" customHeight="1">
      <c r="A547" s="1314">
        <v>44938.561887627315</v>
      </c>
      <c r="B547" s="1310" t="s">
        <v>3853</v>
      </c>
      <c r="C547" s="1310" t="s">
        <v>3854</v>
      </c>
      <c r="D547" s="1310" t="s">
        <v>3046</v>
      </c>
      <c r="E547" s="1310" t="s">
        <v>3042</v>
      </c>
      <c r="F547" s="1310" t="s">
        <v>3055</v>
      </c>
      <c r="G547" s="1323">
        <v>1</v>
      </c>
      <c r="H547" s="486" t="e">
        <f t="array" aca="1" ref="H547" ca="1">+_xludf.IFS(E547="100% Presencial",1, E547="20% Teletrabajo (4 días a la semana)",0.8,E547="40% Teletrabajo (3 días a la semana)",0.6,E547="60% Teletrabajo (2 días a la semana)",0.4,E547="80% Teletrabajo (1 día a la semana)",0.2,E547="100% Teletrabajo",0)</f>
        <v>#NAME?</v>
      </c>
      <c r="I547" s="486" t="e">
        <f t="array" aca="1" ref="I547" ca="1">+_xludf.IFS(F547="Vehículo - Uso individual","Auto",F547="Vehículo - Uso compartido","Auto",F547="Transporte público/bus de acercamiento","Bus",F547="Moto","Moto",F547="Bicicleta o caminando","Bicicleta",F547="Ninguno, pues realicé 100% teletrabajo","No aplica",F547="Moto eléctrica","Moto eléctrica",F547="Vehículo eléctrico - Uso Individual","Vehículo eléctrico",F547="Vehículo eléctrico - Uso Compartido","Vehículo eléctrico")</f>
        <v>#NAME?</v>
      </c>
      <c r="J547" s="486">
        <v>1</v>
      </c>
      <c r="K547" s="1324" t="e">
        <f t="shared" ca="1" si="5"/>
        <v>#NAME?</v>
      </c>
      <c r="L547" s="1325">
        <f ca="1">+IFERROR(VLOOKUP(I547,'Factores Emisión EDGE'!$K$267:$L$272,2,0),0)</f>
        <v>0</v>
      </c>
      <c r="M547" s="1325" t="e">
        <f t="shared" ca="1" si="6"/>
        <v>#NAME?</v>
      </c>
      <c r="N547" s="486" t="s">
        <v>3056</v>
      </c>
      <c r="O547" s="1312"/>
      <c r="P547" s="1312"/>
    </row>
    <row r="548" spans="1:16" ht="15.75" customHeight="1">
      <c r="A548" s="1314">
        <v>44938.626152650468</v>
      </c>
      <c r="B548" s="1310" t="s">
        <v>3855</v>
      </c>
      <c r="C548" s="1310" t="s">
        <v>3856</v>
      </c>
      <c r="D548" s="1310" t="s">
        <v>3107</v>
      </c>
      <c r="E548" s="1310" t="s">
        <v>3042</v>
      </c>
      <c r="F548" s="1310" t="s">
        <v>1952</v>
      </c>
      <c r="G548" s="1323">
        <v>1</v>
      </c>
      <c r="H548" s="486" t="e">
        <f t="array" aca="1" ref="H548" ca="1">+_xludf.IFS(E548="100% Presencial",1, E548="20% Teletrabajo (4 días a la semana)",0.8,E548="40% Teletrabajo (3 días a la semana)",0.6,E548="60% Teletrabajo (2 días a la semana)",0.4,E548="80% Teletrabajo (1 día a la semana)",0.2,E548="100% Teletrabajo",0)</f>
        <v>#NAME?</v>
      </c>
      <c r="I548" s="486" t="e">
        <f t="array" aca="1" ref="I548" ca="1">+_xludf.IFS(F548="Vehículo - Uso individual","Auto",F548="Vehículo - Uso compartido","Auto",F548="Transporte público/bus de acercamiento","Bus",F548="Moto","Moto",F548="Bicicleta o caminando","Bicicleta",F548="Ninguno, pues realicé 100% teletrabajo","No aplica",F548="Moto eléctrica","Moto eléctrica",F548="Vehículo eléctrico - Uso Individual","Vehículo eléctrico",F548="Vehículo eléctrico - Uso Compartido","Vehículo eléctrico")</f>
        <v>#NAME?</v>
      </c>
      <c r="J548" s="486">
        <v>1</v>
      </c>
      <c r="K548" s="1324" t="e">
        <f t="shared" ca="1" si="5"/>
        <v>#NAME?</v>
      </c>
      <c r="L548" s="1325">
        <f ca="1">+IFERROR(VLOOKUP(I548,'Factores Emisión EDGE'!$K$267:$L$272,2,0),0)</f>
        <v>0</v>
      </c>
      <c r="M548" s="1325" t="e">
        <f t="shared" ca="1" si="6"/>
        <v>#NAME?</v>
      </c>
      <c r="N548" s="486" t="s">
        <v>3056</v>
      </c>
      <c r="O548" s="1312"/>
      <c r="P548" s="1312"/>
    </row>
    <row r="549" spans="1:16" ht="15.75" customHeight="1">
      <c r="A549" s="1314">
        <v>44939.377547384254</v>
      </c>
      <c r="B549" s="1310" t="s">
        <v>3857</v>
      </c>
      <c r="C549" s="1310" t="s">
        <v>2568</v>
      </c>
      <c r="D549" s="1310" t="s">
        <v>3046</v>
      </c>
      <c r="E549" s="1310" t="s">
        <v>3042</v>
      </c>
      <c r="F549" s="1310" t="s">
        <v>1952</v>
      </c>
      <c r="G549" s="1323">
        <v>1</v>
      </c>
      <c r="H549" s="486" t="e">
        <f t="array" aca="1" ref="H549" ca="1">+_xludf.IFS(E549="100% Presencial",1, E549="20% Teletrabajo (4 días a la semana)",0.8,E549="40% Teletrabajo (3 días a la semana)",0.6,E549="60% Teletrabajo (2 días a la semana)",0.4,E549="80% Teletrabajo (1 día a la semana)",0.2,E549="100% Teletrabajo",0)</f>
        <v>#NAME?</v>
      </c>
      <c r="I549" s="486" t="e">
        <f t="array" aca="1" ref="I549" ca="1">+_xludf.IFS(F549="Vehículo - Uso individual","Auto",F549="Vehículo - Uso compartido","Auto",F549="Transporte público/bus de acercamiento","Bus",F549="Moto","Moto",F549="Bicicleta o caminando","Bicicleta",F549="Ninguno, pues realicé 100% teletrabajo","No aplica",F549="Moto eléctrica","Moto eléctrica",F549="Vehículo eléctrico - Uso Individual","Vehículo eléctrico",F549="Vehículo eléctrico - Uso Compartido","Vehículo eléctrico")</f>
        <v>#NAME?</v>
      </c>
      <c r="J549" s="486">
        <v>1</v>
      </c>
      <c r="K549" s="1324" t="e">
        <f t="shared" ca="1" si="5"/>
        <v>#NAME?</v>
      </c>
      <c r="L549" s="1325">
        <f ca="1">+IFERROR(VLOOKUP(I549,'Factores Emisión EDGE'!$K$267:$L$272,2,0),0)</f>
        <v>0</v>
      </c>
      <c r="M549" s="1325" t="e">
        <f t="shared" ca="1" si="6"/>
        <v>#NAME?</v>
      </c>
      <c r="N549" s="486" t="s">
        <v>3043</v>
      </c>
      <c r="O549" s="1312"/>
      <c r="P549" s="1312"/>
    </row>
    <row r="550" spans="1:16" ht="15.75" customHeight="1">
      <c r="A550" s="1314">
        <v>44939.457603946757</v>
      </c>
      <c r="B550" s="1310" t="s">
        <v>3858</v>
      </c>
      <c r="C550" s="1310" t="s">
        <v>3859</v>
      </c>
      <c r="D550" s="1310" t="s">
        <v>3063</v>
      </c>
      <c r="E550" s="1310" t="s">
        <v>3042</v>
      </c>
      <c r="F550" s="1310" t="s">
        <v>1952</v>
      </c>
      <c r="G550" s="1323">
        <v>1</v>
      </c>
      <c r="H550" s="486" t="e">
        <f t="array" aca="1" ref="H550" ca="1">+_xludf.IFS(E550="100% Presencial",1, E550="20% Teletrabajo (4 días a la semana)",0.8,E550="40% Teletrabajo (3 días a la semana)",0.6,E550="60% Teletrabajo (2 días a la semana)",0.4,E550="80% Teletrabajo (1 día a la semana)",0.2,E550="100% Teletrabajo",0)</f>
        <v>#NAME?</v>
      </c>
      <c r="I550" s="486" t="e">
        <f t="array" aca="1" ref="I550" ca="1">+_xludf.IFS(F550="Vehículo - Uso individual","Auto",F550="Vehículo - Uso compartido","Auto",F550="Transporte público/bus de acercamiento","Bus",F550="Moto","Moto",F550="Bicicleta o caminando","Bicicleta",F550="Ninguno, pues realicé 100% teletrabajo","No aplica",F550="Moto eléctrica","Moto eléctrica",F550="Vehículo eléctrico - Uso Individual","Vehículo eléctrico",F550="Vehículo eléctrico - Uso Compartido","Vehículo eléctrico")</f>
        <v>#NAME?</v>
      </c>
      <c r="J550" s="486">
        <v>1</v>
      </c>
      <c r="K550" s="1324" t="e">
        <f t="shared" ca="1" si="5"/>
        <v>#NAME?</v>
      </c>
      <c r="L550" s="1325">
        <f ca="1">+IFERROR(VLOOKUP(I550,'Factores Emisión EDGE'!$K$267:$L$272,2,0),0)</f>
        <v>0</v>
      </c>
      <c r="M550" s="1325" t="e">
        <f t="shared" ca="1" si="6"/>
        <v>#NAME?</v>
      </c>
      <c r="N550" s="486" t="s">
        <v>3056</v>
      </c>
      <c r="O550" s="1312"/>
      <c r="P550" s="1312"/>
    </row>
    <row r="551" spans="1:16" ht="15.75" customHeight="1">
      <c r="A551" s="1314">
        <v>44929.508844641205</v>
      </c>
      <c r="B551" s="1310" t="s">
        <v>2616</v>
      </c>
      <c r="C551" s="1310" t="s">
        <v>2617</v>
      </c>
      <c r="D551" s="1310" t="s">
        <v>3048</v>
      </c>
      <c r="E551" s="1310" t="s">
        <v>3042</v>
      </c>
      <c r="F551" s="1310" t="s">
        <v>1983</v>
      </c>
      <c r="G551" s="1323">
        <v>0.8</v>
      </c>
      <c r="H551" s="486" t="e">
        <f t="array" aca="1" ref="H551" ca="1">+_xludf.IFS(E551="100% Presencial",1, E551="20% Teletrabajo (4 días a la semana)",0.8,E551="40% Teletrabajo (3 días a la semana)",0.6,E551="60% Teletrabajo (2 días a la semana)",0.4,E551="80% Teletrabajo (1 día a la semana)",0.2,E551="100% Teletrabajo",0)</f>
        <v>#NAME?</v>
      </c>
      <c r="I551" s="486" t="e">
        <f t="array" aca="1" ref="I551" ca="1">+_xludf.IFS(F551="Vehículo - Uso individual","Auto",F551="Vehículo - Uso compartido","Auto",F551="Transporte público/bus de acercamiento","Bus",F551="Moto","Moto",F551="Bicicleta o caminando","Bicicleta",F551="Ninguno, pues realicé 100% teletrabajo","No aplica",F551="Moto eléctrica","Moto eléctrica",F551="Vehículo eléctrico - Uso Individual","Vehículo eléctrico",F551="Vehículo eléctrico - Uso Compartido","Vehículo eléctrico")</f>
        <v>#NAME?</v>
      </c>
      <c r="J551" s="486">
        <v>1</v>
      </c>
      <c r="K551" s="1324" t="e">
        <f t="shared" ca="1" si="5"/>
        <v>#NAME?</v>
      </c>
      <c r="L551" s="1325">
        <f ca="1">+IFERROR(VLOOKUP(I551,'Factores Emisión EDGE'!$K$267:$L$272,2,0),0)</f>
        <v>0</v>
      </c>
      <c r="M551" s="1325" t="e">
        <f t="shared" ca="1" si="6"/>
        <v>#NAME?</v>
      </c>
      <c r="N551" s="486" t="s">
        <v>3043</v>
      </c>
      <c r="O551" s="1312"/>
      <c r="P551" s="1312"/>
    </row>
    <row r="552" spans="1:16" ht="15.75" customHeight="1">
      <c r="A552" s="1314">
        <v>44930.462942141203</v>
      </c>
      <c r="B552" s="1310" t="s">
        <v>3860</v>
      </c>
      <c r="C552" s="1310" t="s">
        <v>3861</v>
      </c>
      <c r="D552" s="1310" t="s">
        <v>3080</v>
      </c>
      <c r="E552" s="1310" t="s">
        <v>3042</v>
      </c>
      <c r="F552" s="1310" t="s">
        <v>1952</v>
      </c>
      <c r="G552" s="1323">
        <v>0.5</v>
      </c>
      <c r="H552" s="486" t="e">
        <f t="array" aca="1" ref="H552" ca="1">+_xludf.IFS(E552="100% Presencial",1, E552="20% Teletrabajo (4 días a la semana)",0.8,E552="40% Teletrabajo (3 días a la semana)",0.6,E552="60% Teletrabajo (2 días a la semana)",0.4,E552="80% Teletrabajo (1 día a la semana)",0.2,E552="100% Teletrabajo",0)</f>
        <v>#NAME?</v>
      </c>
      <c r="I552" s="486" t="e">
        <f t="array" aca="1" ref="I552" ca="1">+_xludf.IFS(F552="Vehículo - Uso individual","Auto",F552="Vehículo - Uso compartido","Auto",F552="Transporte público/bus de acercamiento","Bus",F552="Moto","Moto",F552="Bicicleta o caminando","Bicicleta",F552="Ninguno, pues realicé 100% teletrabajo","No aplica",F552="Moto eléctrica","Moto eléctrica",F552="Vehículo eléctrico - Uso Individual","Vehículo eléctrico",F552="Vehículo eléctrico - Uso Compartido","Vehículo eléctrico")</f>
        <v>#NAME?</v>
      </c>
      <c r="J552" s="486">
        <v>1</v>
      </c>
      <c r="K552" s="1324" t="e">
        <f t="shared" ca="1" si="5"/>
        <v>#NAME?</v>
      </c>
      <c r="L552" s="1325">
        <f ca="1">+IFERROR(VLOOKUP(I552,'Factores Emisión EDGE'!$K$267:$L$272,2,0),0)</f>
        <v>0</v>
      </c>
      <c r="M552" s="1325" t="e">
        <f t="shared" ca="1" si="6"/>
        <v>#NAME?</v>
      </c>
      <c r="N552" s="486" t="s">
        <v>3056</v>
      </c>
      <c r="O552" s="1312"/>
      <c r="P552" s="1312"/>
    </row>
    <row r="553" spans="1:16" ht="15.75" customHeight="1">
      <c r="A553" s="1314">
        <v>44937.661257523148</v>
      </c>
      <c r="B553" s="1310" t="s">
        <v>3862</v>
      </c>
      <c r="C553" s="1310" t="s">
        <v>2730</v>
      </c>
      <c r="D553" s="1310" t="s">
        <v>3664</v>
      </c>
      <c r="E553" s="1310" t="s">
        <v>3042</v>
      </c>
      <c r="F553" s="1310" t="s">
        <v>3055</v>
      </c>
      <c r="G553" s="1323">
        <v>0.5</v>
      </c>
      <c r="H553" s="486" t="e">
        <f t="array" aca="1" ref="H553" ca="1">+_xludf.IFS(E553="100% Presencial",1, E553="20% Teletrabajo (4 días a la semana)",0.8,E553="40% Teletrabajo (3 días a la semana)",0.6,E553="60% Teletrabajo (2 días a la semana)",0.4,E553="80% Teletrabajo (1 día a la semana)",0.2,E553="100% Teletrabajo",0)</f>
        <v>#NAME?</v>
      </c>
      <c r="I553" s="486" t="e">
        <f t="array" aca="1" ref="I553" ca="1">+_xludf.IFS(F553="Vehículo - Uso individual","Auto",F553="Vehículo - Uso compartido","Auto",F553="Transporte público/bus de acercamiento","Bus",F553="Moto","Moto",F553="Bicicleta o caminando","Bicicleta",F553="Ninguno, pues realicé 100% teletrabajo","No aplica",F553="Moto eléctrica","Moto eléctrica",F553="Vehículo eléctrico - Uso Individual","Vehículo eléctrico",F553="Vehículo eléctrico - Uso Compartido","Vehículo eléctrico")</f>
        <v>#NAME?</v>
      </c>
      <c r="J553" s="486">
        <v>1</v>
      </c>
      <c r="K553" s="1324" t="e">
        <f t="shared" ca="1" si="5"/>
        <v>#NAME?</v>
      </c>
      <c r="L553" s="1325">
        <f ca="1">+IFERROR(VLOOKUP(I553,'Factores Emisión EDGE'!$K$267:$L$272,2,0),0)</f>
        <v>0</v>
      </c>
      <c r="M553" s="1325" t="e">
        <f t="shared" ca="1" si="6"/>
        <v>#NAME?</v>
      </c>
      <c r="N553" s="486" t="s">
        <v>3043</v>
      </c>
      <c r="O553" s="1312"/>
      <c r="P553" s="1312"/>
    </row>
    <row r="554" spans="1:16" ht="15.75" customHeight="1">
      <c r="A554" s="1314">
        <v>44938.594348460647</v>
      </c>
      <c r="B554" s="1310" t="s">
        <v>3863</v>
      </c>
      <c r="C554" s="1310" t="s">
        <v>3864</v>
      </c>
      <c r="D554" s="1310" t="s">
        <v>3292</v>
      </c>
      <c r="E554" s="1310" t="s">
        <v>3042</v>
      </c>
      <c r="F554" s="1310" t="s">
        <v>1995</v>
      </c>
      <c r="G554" s="1323">
        <v>0.4</v>
      </c>
      <c r="H554" s="486" t="e">
        <f t="array" aca="1" ref="H554" ca="1">+_xludf.IFS(E554="100% Presencial",1, E554="20% Teletrabajo (4 días a la semana)",0.8,E554="40% Teletrabajo (3 días a la semana)",0.6,E554="60% Teletrabajo (2 días a la semana)",0.4,E554="80% Teletrabajo (1 día a la semana)",0.2,E554="100% Teletrabajo",0)</f>
        <v>#NAME?</v>
      </c>
      <c r="I554" s="486" t="e">
        <f t="array" aca="1" ref="I554" ca="1">+_xludf.IFS(F554="Vehículo - Uso individual","Auto",F554="Vehículo - Uso compartido","Auto",F554="Transporte público/bus de acercamiento","Bus",F554="Moto","Moto",F554="Bicicleta o caminando","Bicicleta",F554="Ninguno, pues realicé 100% teletrabajo","No aplica",F554="Moto eléctrica","Moto eléctrica",F554="Vehículo eléctrico - Uso Individual","Vehículo eléctrico",F554="Vehículo eléctrico - Uso Compartido","Vehículo eléctrico")</f>
        <v>#NAME?</v>
      </c>
      <c r="J554" s="486">
        <v>0.25</v>
      </c>
      <c r="K554" s="1324" t="e">
        <f t="shared" ca="1" si="5"/>
        <v>#NAME?</v>
      </c>
      <c r="L554" s="1325">
        <f ca="1">+IFERROR(VLOOKUP(I554,'Factores Emisión EDGE'!$K$267:$L$272,2,0),0)</f>
        <v>0</v>
      </c>
      <c r="M554" s="1325" t="e">
        <f t="shared" ca="1" si="6"/>
        <v>#NAME?</v>
      </c>
      <c r="N554" s="486" t="s">
        <v>3056</v>
      </c>
      <c r="O554" s="1312"/>
      <c r="P554" s="1312"/>
    </row>
    <row r="555" spans="1:16" ht="15.75" customHeight="1">
      <c r="A555" s="1314">
        <v>44932.422106666665</v>
      </c>
      <c r="B555" s="1310" t="s">
        <v>3865</v>
      </c>
      <c r="C555" s="1310" t="s">
        <v>3866</v>
      </c>
      <c r="D555" s="1310" t="s">
        <v>3080</v>
      </c>
      <c r="E555" s="1310" t="s">
        <v>3042</v>
      </c>
      <c r="F555" s="1310" t="s">
        <v>1983</v>
      </c>
      <c r="G555" s="1323">
        <v>0.25</v>
      </c>
      <c r="H555" s="486" t="e">
        <f t="array" aca="1" ref="H555" ca="1">+_xludf.IFS(E555="100% Presencial",1, E555="20% Teletrabajo (4 días a la semana)",0.8,E555="40% Teletrabajo (3 días a la semana)",0.6,E555="60% Teletrabajo (2 días a la semana)",0.4,E555="80% Teletrabajo (1 día a la semana)",0.2,E555="100% Teletrabajo",0)</f>
        <v>#NAME?</v>
      </c>
      <c r="I555" s="486" t="e">
        <f t="array" aca="1" ref="I555" ca="1">+_xludf.IFS(F555="Vehículo - Uso individual","Auto",F555="Vehículo - Uso compartido","Auto",F555="Transporte público/bus de acercamiento","Bus",F555="Moto","Moto",F555="Bicicleta o caminando","Bicicleta",F555="Ninguno, pues realicé 100% teletrabajo","No aplica",F555="Moto eléctrica","Moto eléctrica",F555="Vehículo eléctrico - Uso Individual","Vehículo eléctrico",F555="Vehículo eléctrico - Uso Compartido","Vehículo eléctrico")</f>
        <v>#NAME?</v>
      </c>
      <c r="J555" s="486">
        <v>1</v>
      </c>
      <c r="K555" s="1324" t="e">
        <f t="shared" ca="1" si="5"/>
        <v>#NAME?</v>
      </c>
      <c r="L555" s="1325">
        <f ca="1">+IFERROR(VLOOKUP(I555,'Factores Emisión EDGE'!$K$267:$L$272,2,0),0)</f>
        <v>0</v>
      </c>
      <c r="M555" s="1325" t="e">
        <f t="shared" ca="1" si="6"/>
        <v>#NAME?</v>
      </c>
      <c r="N555" s="486" t="s">
        <v>3056</v>
      </c>
      <c r="O555" s="1312"/>
      <c r="P555" s="1312"/>
    </row>
    <row r="556" spans="1:16" ht="15.75" customHeight="1">
      <c r="A556" s="1314">
        <v>44937.659028020833</v>
      </c>
      <c r="B556" s="1310" t="s">
        <v>3867</v>
      </c>
      <c r="C556" s="1310" t="s">
        <v>2721</v>
      </c>
      <c r="D556" s="1310" t="s">
        <v>3664</v>
      </c>
      <c r="E556" s="1310" t="s">
        <v>3042</v>
      </c>
      <c r="F556" s="1310" t="s">
        <v>1983</v>
      </c>
      <c r="G556" s="1323">
        <v>0.2</v>
      </c>
      <c r="H556" s="486" t="e">
        <f t="array" aca="1" ref="H556" ca="1">+_xludf.IFS(E556="100% Presencial",1, E556="20% Teletrabajo (4 días a la semana)",0.8,E556="40% Teletrabajo (3 días a la semana)",0.6,E556="60% Teletrabajo (2 días a la semana)",0.4,E556="80% Teletrabajo (1 día a la semana)",0.2,E556="100% Teletrabajo",0)</f>
        <v>#NAME?</v>
      </c>
      <c r="I556" s="486" t="e">
        <f t="array" aca="1" ref="I556" ca="1">+_xludf.IFS(F556="Vehículo - Uso individual","Auto",F556="Vehículo - Uso compartido","Auto",F556="Transporte público/bus de acercamiento","Bus",F556="Moto","Moto",F556="Bicicleta o caminando","Bicicleta",F556="Ninguno, pues realicé 100% teletrabajo","No aplica",F556="Moto eléctrica","Moto eléctrica",F556="Vehículo eléctrico - Uso Individual","Vehículo eléctrico",F556="Vehículo eléctrico - Uso Compartido","Vehículo eléctrico")</f>
        <v>#NAME?</v>
      </c>
      <c r="J556" s="486">
        <v>1</v>
      </c>
      <c r="K556" s="1324" t="e">
        <f t="shared" ca="1" si="5"/>
        <v>#NAME?</v>
      </c>
      <c r="L556" s="1325">
        <f ca="1">+IFERROR(VLOOKUP(I556,'Factores Emisión EDGE'!$K$267:$L$272,2,0),0)</f>
        <v>0</v>
      </c>
      <c r="M556" s="1325" t="e">
        <f t="shared" ca="1" si="6"/>
        <v>#NAME?</v>
      </c>
      <c r="N556" s="486" t="s">
        <v>3043</v>
      </c>
      <c r="O556" s="1312"/>
      <c r="P556" s="1312"/>
    </row>
    <row r="557" spans="1:16" ht="15.75" customHeight="1">
      <c r="A557" s="1314">
        <v>44929.496484374999</v>
      </c>
      <c r="B557" s="1310" t="s">
        <v>3868</v>
      </c>
      <c r="C557" s="1310" t="s">
        <v>3869</v>
      </c>
      <c r="D557" s="1310" t="s">
        <v>3046</v>
      </c>
      <c r="E557" s="1310" t="s">
        <v>3066</v>
      </c>
      <c r="F557" s="1310" t="s">
        <v>3055</v>
      </c>
      <c r="G557" s="1323">
        <v>0.11</v>
      </c>
      <c r="H557" s="486" t="e">
        <f t="array" aca="1" ref="H557" ca="1">+_xludf.IFS(E557="100% Presencial",1, E557="20% Teletrabajo (4 días a la semana)",0.8,E557="40% Teletrabajo (3 días a la semana)",0.6,E557="60% Teletrabajo (2 días a la semana)",0.4,E557="80% Teletrabajo (1 día a la semana)",0.2,E557="100% Teletrabajo",0)</f>
        <v>#NAME?</v>
      </c>
      <c r="I557" s="486" t="e">
        <f t="array" aca="1" ref="I557" ca="1">+_xludf.IFS(F557="Vehículo - Uso individual","Auto",F557="Vehículo - Uso compartido","Auto",F557="Transporte público/bus de acercamiento","Bus",F557="Moto","Moto",F557="Bicicleta o caminando","Bicicleta",F557="Ninguno, pues realicé 100% teletrabajo","No aplica",F557="Moto eléctrica","Moto eléctrica",F557="Vehículo eléctrico - Uso Individual","Vehículo eléctrico",F557="Vehículo eléctrico - Uso Compartido","Vehículo eléctrico")</f>
        <v>#NAME?</v>
      </c>
      <c r="J557" s="486">
        <v>1</v>
      </c>
      <c r="K557" s="1324" t="e">
        <f t="shared" ca="1" si="5"/>
        <v>#NAME?</v>
      </c>
      <c r="L557" s="1325">
        <f ca="1">+IFERROR(VLOOKUP(I557,'Factores Emisión EDGE'!$K$267:$L$272,2,0),0)</f>
        <v>0</v>
      </c>
      <c r="M557" s="1325" t="e">
        <f t="shared" ca="1" si="6"/>
        <v>#NAME?</v>
      </c>
      <c r="N557" s="486" t="s">
        <v>3043</v>
      </c>
      <c r="O557" s="1312"/>
      <c r="P557" s="1312"/>
    </row>
    <row r="558" spans="1:16" ht="15.75" customHeight="1">
      <c r="A558" s="1314">
        <v>44938.568612511575</v>
      </c>
      <c r="B558" s="1310" t="s">
        <v>3870</v>
      </c>
      <c r="C558" s="1310" t="s">
        <v>3871</v>
      </c>
      <c r="D558" s="1310" t="s">
        <v>3048</v>
      </c>
      <c r="E558" s="1310" t="s">
        <v>3042</v>
      </c>
      <c r="F558" s="1310" t="s">
        <v>1983</v>
      </c>
      <c r="G558" s="1323">
        <v>0.1</v>
      </c>
      <c r="H558" s="486" t="e">
        <f t="array" aca="1" ref="H558" ca="1">+_xludf.IFS(E558="100% Presencial",1, E558="20% Teletrabajo (4 días a la semana)",0.8,E558="40% Teletrabajo (3 días a la semana)",0.6,E558="60% Teletrabajo (2 días a la semana)",0.4,E558="80% Teletrabajo (1 día a la semana)",0.2,E558="100% Teletrabajo",0)</f>
        <v>#NAME?</v>
      </c>
      <c r="I558" s="486" t="e">
        <f t="array" aca="1" ref="I558" ca="1">+_xludf.IFS(F558="Vehículo - Uso individual","Auto",F558="Vehículo - Uso compartido","Auto",F558="Transporte público/bus de acercamiento","Bus",F558="Moto","Moto",F558="Bicicleta o caminando","Bicicleta",F558="Ninguno, pues realicé 100% teletrabajo","No aplica",F558="Moto eléctrica","Moto eléctrica",F558="Vehículo eléctrico - Uso Individual","Vehículo eléctrico",F558="Vehículo eléctrico - Uso Compartido","Vehículo eléctrico")</f>
        <v>#NAME?</v>
      </c>
      <c r="J558" s="486">
        <v>1</v>
      </c>
      <c r="K558" s="1324" t="e">
        <f t="shared" ca="1" si="5"/>
        <v>#NAME?</v>
      </c>
      <c r="L558" s="1325">
        <f ca="1">+IFERROR(VLOOKUP(I558,'Factores Emisión EDGE'!$K$267:$L$272,2,0),0)</f>
        <v>0</v>
      </c>
      <c r="M558" s="1325" t="e">
        <f t="shared" ca="1" si="6"/>
        <v>#NAME?</v>
      </c>
      <c r="N558" s="486" t="s">
        <v>3056</v>
      </c>
      <c r="O558" s="1312"/>
      <c r="P558" s="1312"/>
    </row>
    <row r="559" spans="1:16" ht="15.75" customHeight="1">
      <c r="A559" s="1314">
        <v>44930.498031284718</v>
      </c>
      <c r="B559" s="1310" t="s">
        <v>3872</v>
      </c>
      <c r="C559" s="1310" t="s">
        <v>3873</v>
      </c>
      <c r="D559" s="1310" t="s">
        <v>3048</v>
      </c>
      <c r="E559" s="1310" t="s">
        <v>3042</v>
      </c>
      <c r="F559" s="1310" t="s">
        <v>1983</v>
      </c>
      <c r="G559" s="1323">
        <v>0</v>
      </c>
      <c r="H559" s="486" t="e">
        <f t="array" aca="1" ref="H559" ca="1">+_xludf.IFS(E559="100% Presencial",1, E559="20% Teletrabajo (4 días a la semana)",0.8,E559="40% Teletrabajo (3 días a la semana)",0.6,E559="60% Teletrabajo (2 días a la semana)",0.4,E559="80% Teletrabajo (1 día a la semana)",0.2,E559="100% Teletrabajo",0)</f>
        <v>#NAME?</v>
      </c>
      <c r="I559" s="486" t="e">
        <f t="array" aca="1" ref="I559" ca="1">+_xludf.IFS(F559="Vehículo - Uso individual","Auto",F559="Vehículo - Uso compartido","Auto",F559="Transporte público/bus de acercamiento","Bus",F559="Moto","Moto",F559="Bicicleta o caminando","Bicicleta",F559="Ninguno, pues realicé 100% teletrabajo","No aplica",F559="Moto eléctrica","Moto eléctrica",F559="Vehículo eléctrico - Uso Individual","Vehículo eléctrico",F559="Vehículo eléctrico - Uso Compartido","Vehículo eléctrico")</f>
        <v>#NAME?</v>
      </c>
      <c r="J559" s="486">
        <v>1</v>
      </c>
      <c r="K559" s="1324" t="e">
        <f t="shared" ca="1" si="5"/>
        <v>#NAME?</v>
      </c>
      <c r="L559" s="1325">
        <f ca="1">+IFERROR(VLOOKUP(I559,'Factores Emisión EDGE'!$K$267:$L$272,2,0),0)</f>
        <v>0</v>
      </c>
      <c r="M559" s="1325" t="e">
        <f t="shared" ca="1" si="6"/>
        <v>#NAME?</v>
      </c>
      <c r="N559" s="486" t="s">
        <v>3056</v>
      </c>
      <c r="O559" s="1312"/>
      <c r="P559" s="1312"/>
    </row>
    <row r="560" spans="1:16" ht="15.75" customHeight="1">
      <c r="A560" s="1314">
        <v>44929.522966087963</v>
      </c>
      <c r="B560" s="1310" t="s">
        <v>2635</v>
      </c>
      <c r="C560" s="1310" t="s">
        <v>2636</v>
      </c>
      <c r="D560" s="1310" t="s">
        <v>3048</v>
      </c>
      <c r="E560" s="1310" t="s">
        <v>881</v>
      </c>
      <c r="F560" s="1310" t="s">
        <v>1952</v>
      </c>
      <c r="G560" s="1323">
        <v>0</v>
      </c>
      <c r="H560" s="486" t="e">
        <f t="array" aca="1" ref="H560" ca="1">+_xludf.IFS(E560="100% Presencial",1, E560="20% Teletrabajo (4 días a la semana)",0.8,E560="40% Teletrabajo (3 días a la semana)",0.6,E560="60% Teletrabajo (2 días a la semana)",0.4,E560="80% Teletrabajo (1 día a la semana)",0.2,E560="100% Teletrabajo",0)</f>
        <v>#NAME?</v>
      </c>
      <c r="I560" s="486" t="e">
        <f t="array" aca="1" ref="I560" ca="1">+_xludf.IFS(F560="Vehículo - Uso individual","Auto",F560="Vehículo - Uso compartido","Auto",F560="Transporte público/bus de acercamiento","Bus",F560="Moto","Moto",F560="Bicicleta o caminando","Bicicleta",F560="Ninguno, pues realicé 100% teletrabajo","No aplica",F560="Moto eléctrica","Moto eléctrica",F560="Vehículo eléctrico - Uso Individual","Vehículo eléctrico",F560="Vehículo eléctrico - Uso Compartido","Vehículo eléctrico")</f>
        <v>#NAME?</v>
      </c>
      <c r="J560" s="486">
        <v>1</v>
      </c>
      <c r="K560" s="1324" t="e">
        <f t="shared" ca="1" si="5"/>
        <v>#NAME?</v>
      </c>
      <c r="L560" s="1325">
        <f ca="1">+IFERROR(VLOOKUP(I560,'Factores Emisión EDGE'!$K$267:$L$272,2,0),0)</f>
        <v>0</v>
      </c>
      <c r="M560" s="1325" t="e">
        <f t="shared" ca="1" si="6"/>
        <v>#NAME?</v>
      </c>
      <c r="N560" s="486" t="s">
        <v>3043</v>
      </c>
      <c r="O560" s="1312"/>
      <c r="P560" s="1312"/>
    </row>
    <row r="561" spans="1:16" ht="15.75" customHeight="1">
      <c r="A561" s="1314">
        <v>44939.377520219903</v>
      </c>
      <c r="B561" s="1310" t="s">
        <v>3874</v>
      </c>
      <c r="C561" s="1310" t="s">
        <v>3875</v>
      </c>
      <c r="D561" s="1310" t="s">
        <v>3048</v>
      </c>
      <c r="E561" s="1310" t="s">
        <v>3042</v>
      </c>
      <c r="F561" s="1310" t="s">
        <v>3055</v>
      </c>
      <c r="G561" s="1323">
        <v>0</v>
      </c>
      <c r="H561" s="486" t="e">
        <f t="array" aca="1" ref="H561" ca="1">+_xludf.IFS(E561="100% Presencial",1, E561="20% Teletrabajo (4 días a la semana)",0.8,E561="40% Teletrabajo (3 días a la semana)",0.6,E561="60% Teletrabajo (2 días a la semana)",0.4,E561="80% Teletrabajo (1 día a la semana)",0.2,E561="100% Teletrabajo",0)</f>
        <v>#NAME?</v>
      </c>
      <c r="I561" s="486" t="e">
        <f t="array" aca="1" ref="I561" ca="1">+_xludf.IFS(F561="Vehículo - Uso individual","Auto",F561="Vehículo - Uso compartido","Auto",F561="Transporte público/bus de acercamiento","Bus",F561="Moto","Moto",F561="Bicicleta o caminando","Bicicleta",F561="Ninguno, pues realicé 100% teletrabajo","No aplica",F561="Moto eléctrica","Moto eléctrica",F561="Vehículo eléctrico - Uso Individual","Vehículo eléctrico",F561="Vehículo eléctrico - Uso Compartido","Vehículo eléctrico")</f>
        <v>#NAME?</v>
      </c>
      <c r="J561" s="486">
        <v>1</v>
      </c>
      <c r="K561" s="1324" t="e">
        <f t="shared" ca="1" si="5"/>
        <v>#NAME?</v>
      </c>
      <c r="L561" s="1325">
        <f ca="1">+IFERROR(VLOOKUP(I561,'Factores Emisión EDGE'!$K$267:$L$272,2,0),0)</f>
        <v>0</v>
      </c>
      <c r="M561" s="1325" t="e">
        <f t="shared" ca="1" si="6"/>
        <v>#NAME?</v>
      </c>
      <c r="N561" s="486" t="s">
        <v>3043</v>
      </c>
      <c r="O561" s="1312"/>
      <c r="P561" s="1312"/>
    </row>
    <row r="562" spans="1:16" ht="15.75" customHeight="1">
      <c r="A562" s="1314">
        <v>44929.709373217593</v>
      </c>
      <c r="B562" s="1310" t="s">
        <v>3876</v>
      </c>
      <c r="C562" s="1310" t="s">
        <v>2480</v>
      </c>
      <c r="D562" s="1310" t="s">
        <v>3048</v>
      </c>
      <c r="E562" s="1310" t="s">
        <v>3049</v>
      </c>
      <c r="F562" s="1310" t="s">
        <v>3055</v>
      </c>
      <c r="G562" s="1323">
        <v>0</v>
      </c>
      <c r="H562" s="486" t="e">
        <f t="array" aca="1" ref="H562" ca="1">+_xludf.IFS(E562="100% Presencial",1, E562="20% Teletrabajo (4 días a la semana)",0.8,E562="40% Teletrabajo (3 días a la semana)",0.6,E562="60% Teletrabajo (2 días a la semana)",0.4,E562="80% Teletrabajo (1 día a la semana)",0.2,E562="100% Teletrabajo",0)</f>
        <v>#NAME?</v>
      </c>
      <c r="I562" s="486" t="e">
        <f t="array" aca="1" ref="I562" ca="1">+_xludf.IFS(F562="Vehículo - Uso individual","Auto",F562="Vehículo - Uso compartido","Auto",F562="Transporte público/bus de acercamiento","Bus",F562="Moto","Moto",F562="Bicicleta o caminando","Bicicleta",F562="Ninguno, pues realicé 100% teletrabajo","No aplica",F562="Moto eléctrica","Moto eléctrica",F562="Vehículo eléctrico - Uso Individual","Vehículo eléctrico",F562="Vehículo eléctrico - Uso Compartido","Vehículo eléctrico")</f>
        <v>#NAME?</v>
      </c>
      <c r="J562" s="486">
        <v>1</v>
      </c>
      <c r="K562" s="1324" t="e">
        <f t="shared" ca="1" si="5"/>
        <v>#NAME?</v>
      </c>
      <c r="L562" s="1325">
        <f ca="1">+IFERROR(VLOOKUP(I562,'Factores Emisión EDGE'!$K$267:$L$272,2,0),0)</f>
        <v>0</v>
      </c>
      <c r="M562" s="1325" t="e">
        <f t="shared" ca="1" si="6"/>
        <v>#NAME?</v>
      </c>
      <c r="N562" s="486" t="s">
        <v>3043</v>
      </c>
      <c r="O562" s="1312"/>
      <c r="P562" s="1312"/>
    </row>
    <row r="563" spans="1:16" ht="15.75" customHeight="1">
      <c r="A563" s="1314">
        <v>44938.597384259258</v>
      </c>
      <c r="B563" s="1310" t="s">
        <v>2930</v>
      </c>
      <c r="C563" s="1310" t="s">
        <v>2931</v>
      </c>
      <c r="D563" s="1310" t="s">
        <v>3133</v>
      </c>
      <c r="E563" s="1310" t="s">
        <v>3066</v>
      </c>
      <c r="F563" s="1310" t="s">
        <v>1952</v>
      </c>
      <c r="G563" s="1323">
        <v>0</v>
      </c>
      <c r="H563" s="486" t="e">
        <f t="array" aca="1" ref="H563" ca="1">+_xludf.IFS(E563="100% Presencial",1, E563="20% Teletrabajo (4 días a la semana)",0.8,E563="40% Teletrabajo (3 días a la semana)",0.6,E563="60% Teletrabajo (2 días a la semana)",0.4,E563="80% Teletrabajo (1 día a la semana)",0.2,E563="100% Teletrabajo",0)</f>
        <v>#NAME?</v>
      </c>
      <c r="I563" s="486" t="e">
        <f t="array" aca="1" ref="I563" ca="1">+_xludf.IFS(F563="Vehículo - Uso individual","Auto",F563="Vehículo - Uso compartido","Auto",F563="Transporte público/bus de acercamiento","Bus",F563="Moto","Moto",F563="Bicicleta o caminando","Bicicleta",F563="Ninguno, pues realicé 100% teletrabajo","No aplica",F563="Moto eléctrica","Moto eléctrica",F563="Vehículo eléctrico - Uso Individual","Vehículo eléctrico",F563="Vehículo eléctrico - Uso Compartido","Vehículo eléctrico")</f>
        <v>#NAME?</v>
      </c>
      <c r="J563" s="486">
        <v>1</v>
      </c>
      <c r="K563" s="1324" t="e">
        <f t="shared" ca="1" si="5"/>
        <v>#NAME?</v>
      </c>
      <c r="L563" s="1325">
        <f ca="1">+IFERROR(VLOOKUP(I563,'Factores Emisión EDGE'!$K$267:$L$272,2,0),0)</f>
        <v>0</v>
      </c>
      <c r="M563" s="1325" t="e">
        <f t="shared" ca="1" si="6"/>
        <v>#NAME?</v>
      </c>
      <c r="N563" s="486" t="s">
        <v>3056</v>
      </c>
      <c r="O563" s="1312"/>
      <c r="P563" s="1312"/>
    </row>
    <row r="564" spans="1:16" ht="15.75" customHeight="1">
      <c r="A564" s="1314">
        <v>44938.780491365746</v>
      </c>
      <c r="B564" s="1310" t="s">
        <v>3877</v>
      </c>
      <c r="C564" s="1310" t="s">
        <v>3878</v>
      </c>
      <c r="D564" s="1310" t="s">
        <v>3054</v>
      </c>
      <c r="E564" s="1310" t="s">
        <v>3042</v>
      </c>
      <c r="F564" s="1310" t="s">
        <v>3055</v>
      </c>
      <c r="G564" s="1323">
        <v>0</v>
      </c>
      <c r="H564" s="486" t="e">
        <f t="array" aca="1" ref="H564" ca="1">+_xludf.IFS(E564="100% Presencial",1, E564="20% Teletrabajo (4 días a la semana)",0.8,E564="40% Teletrabajo (3 días a la semana)",0.6,E564="60% Teletrabajo (2 días a la semana)",0.4,E564="80% Teletrabajo (1 día a la semana)",0.2,E564="100% Teletrabajo",0)</f>
        <v>#NAME?</v>
      </c>
      <c r="I564" s="486" t="e">
        <f t="array" aca="1" ref="I564" ca="1">+_xludf.IFS(F564="Vehículo - Uso individual","Auto",F564="Vehículo - Uso compartido","Auto",F564="Transporte público/bus de acercamiento","Bus",F564="Moto","Moto",F564="Bicicleta o caminando","Bicicleta",F564="Ninguno, pues realicé 100% teletrabajo","No aplica",F564="Moto eléctrica","Moto eléctrica",F564="Vehículo eléctrico - Uso Individual","Vehículo eléctrico",F564="Vehículo eléctrico - Uso Compartido","Vehículo eléctrico")</f>
        <v>#NAME?</v>
      </c>
      <c r="J564" s="486">
        <v>1</v>
      </c>
      <c r="K564" s="1324" t="e">
        <f t="shared" ca="1" si="5"/>
        <v>#NAME?</v>
      </c>
      <c r="L564" s="1325">
        <f ca="1">+IFERROR(VLOOKUP(I564,'Factores Emisión EDGE'!$K$267:$L$272,2,0),0)</f>
        <v>0</v>
      </c>
      <c r="M564" s="1325" t="e">
        <f t="shared" ca="1" si="6"/>
        <v>#NAME?</v>
      </c>
      <c r="N564" s="486" t="s">
        <v>3056</v>
      </c>
      <c r="O564" s="1312"/>
      <c r="P564" s="1312"/>
    </row>
    <row r="565" spans="1:16" ht="15.75" customHeight="1">
      <c r="A565" s="1314">
        <v>44930.605662002316</v>
      </c>
      <c r="B565" s="1310" t="s">
        <v>3879</v>
      </c>
      <c r="C565" s="1310" t="s">
        <v>3880</v>
      </c>
      <c r="D565" s="1310" t="s">
        <v>3107</v>
      </c>
      <c r="E565" s="1310" t="s">
        <v>3042</v>
      </c>
      <c r="F565" s="1310" t="s">
        <v>1983</v>
      </c>
      <c r="G565" s="1323">
        <v>0</v>
      </c>
      <c r="H565" s="486" t="e">
        <f t="array" aca="1" ref="H565" ca="1">+_xludf.IFS(E565="100% Presencial",1, E565="20% Teletrabajo (4 días a la semana)",0.8,E565="40% Teletrabajo (3 días a la semana)",0.6,E565="60% Teletrabajo (2 días a la semana)",0.4,E565="80% Teletrabajo (1 día a la semana)",0.2,E565="100% Teletrabajo",0)</f>
        <v>#NAME?</v>
      </c>
      <c r="I565" s="486" t="e">
        <f t="array" aca="1" ref="I565" ca="1">+_xludf.IFS(F565="Vehículo - Uso individual","Auto",F565="Vehículo - Uso compartido","Auto",F565="Transporte público/bus de acercamiento","Bus",F565="Moto","Moto",F565="Bicicleta o caminando","Bicicleta",F565="Ninguno, pues realicé 100% teletrabajo","No aplica",F565="Moto eléctrica","Moto eléctrica",F565="Vehículo eléctrico - Uso Individual","Vehículo eléctrico",F565="Vehículo eléctrico - Uso Compartido","Vehículo eléctrico")</f>
        <v>#NAME?</v>
      </c>
      <c r="J565" s="486">
        <v>1</v>
      </c>
      <c r="K565" s="1324" t="e">
        <f t="shared" ca="1" si="5"/>
        <v>#NAME?</v>
      </c>
      <c r="L565" s="1325">
        <f ca="1">+IFERROR(VLOOKUP(I565,'Factores Emisión EDGE'!$K$267:$L$272,2,0),0)</f>
        <v>0</v>
      </c>
      <c r="M565" s="1325" t="e">
        <f t="shared" ca="1" si="6"/>
        <v>#NAME?</v>
      </c>
      <c r="N565" s="486" t="s">
        <v>3056</v>
      </c>
      <c r="O565" s="1312"/>
      <c r="P565" s="1312"/>
    </row>
    <row r="566" spans="1:16" ht="15.75" customHeight="1">
      <c r="A566" s="1314">
        <v>44929.485351724536</v>
      </c>
      <c r="B566" s="1310" t="s">
        <v>3881</v>
      </c>
      <c r="C566" s="1310" t="s">
        <v>3882</v>
      </c>
      <c r="D566" s="1310" t="s">
        <v>3048</v>
      </c>
      <c r="E566" s="1310" t="s">
        <v>3049</v>
      </c>
      <c r="F566" s="1310" t="s">
        <v>3050</v>
      </c>
      <c r="G566" s="1323">
        <v>0</v>
      </c>
      <c r="H566" s="486" t="e">
        <f t="array" aca="1" ref="H566" ca="1">+_xludf.IFS(E566="100% Presencial",1, E566="20% Teletrabajo (4 días a la semana)",0.8,E566="40% Teletrabajo (3 días a la semana)",0.6,E566="60% Teletrabajo (2 días a la semana)",0.4,E566="80% Teletrabajo (1 día a la semana)",0.2,E566="100% Teletrabajo",0)</f>
        <v>#NAME?</v>
      </c>
      <c r="I566" s="486" t="e">
        <f t="array" aca="1" ref="I566" ca="1">+_xludf.IFS(F566="Vehículo - Uso individual","Auto",F566="Vehículo - Uso compartido","Auto",F566="Transporte público/bus de acercamiento","Bus",F566="Moto","Moto",F566="Bicicleta o caminando","Bicicleta",F566="Ninguno, pues realicé 100% teletrabajo","No aplica",F566="Moto eléctrica","Moto eléctrica",F566="Vehículo eléctrico - Uso Individual","Vehículo eléctrico",F566="Vehículo eléctrico - Uso Compartido","Vehículo eléctrico")</f>
        <v>#NAME?</v>
      </c>
      <c r="J566" s="486">
        <v>1</v>
      </c>
      <c r="K566" s="1324" t="e">
        <f t="shared" ca="1" si="5"/>
        <v>#NAME?</v>
      </c>
      <c r="L566" s="1325">
        <f ca="1">+IFERROR(VLOOKUP(I566,'Factores Emisión EDGE'!$K$267:$L$272,2,0),0)</f>
        <v>0</v>
      </c>
      <c r="M566" s="1325" t="e">
        <f t="shared" ca="1" si="6"/>
        <v>#NAME?</v>
      </c>
      <c r="N566" s="486" t="s">
        <v>3043</v>
      </c>
      <c r="O566" s="1312"/>
      <c r="P566" s="1312"/>
    </row>
    <row r="567" spans="1:16" ht="15.75" customHeight="1">
      <c r="A567" s="1314">
        <v>44929.487633750003</v>
      </c>
      <c r="B567" s="1310" t="s">
        <v>2060</v>
      </c>
      <c r="C567" s="1310" t="s">
        <v>2061</v>
      </c>
      <c r="D567" s="1310" t="s">
        <v>3048</v>
      </c>
      <c r="E567" s="1310" t="s">
        <v>3049</v>
      </c>
      <c r="F567" s="1310" t="s">
        <v>3050</v>
      </c>
      <c r="G567" s="1323">
        <v>0</v>
      </c>
      <c r="H567" s="486" t="e">
        <f t="array" aca="1" ref="H567" ca="1">+_xludf.IFS(E567="100% Presencial",1, E567="20% Teletrabajo (4 días a la semana)",0.8,E567="40% Teletrabajo (3 días a la semana)",0.6,E567="60% Teletrabajo (2 días a la semana)",0.4,E567="80% Teletrabajo (1 día a la semana)",0.2,E567="100% Teletrabajo",0)</f>
        <v>#NAME?</v>
      </c>
      <c r="I567" s="486" t="e">
        <f t="array" aca="1" ref="I567" ca="1">+_xludf.IFS(F567="Vehículo - Uso individual","Auto",F567="Vehículo - Uso compartido","Auto",F567="Transporte público/bus de acercamiento","Bus",F567="Moto","Moto",F567="Bicicleta o caminando","Bicicleta",F567="Ninguno, pues realicé 100% teletrabajo","No aplica",F567="Moto eléctrica","Moto eléctrica",F567="Vehículo eléctrico - Uso Individual","Vehículo eléctrico",F567="Vehículo eléctrico - Uso Compartido","Vehículo eléctrico")</f>
        <v>#NAME?</v>
      </c>
      <c r="J567" s="486">
        <v>1</v>
      </c>
      <c r="K567" s="1324" t="e">
        <f t="shared" ca="1" si="5"/>
        <v>#NAME?</v>
      </c>
      <c r="L567" s="1325">
        <f ca="1">+IFERROR(VLOOKUP(I567,'Factores Emisión EDGE'!$K$267:$L$272,2,0),0)</f>
        <v>0</v>
      </c>
      <c r="M567" s="1325" t="e">
        <f t="shared" ca="1" si="6"/>
        <v>#NAME?</v>
      </c>
      <c r="N567" s="486" t="s">
        <v>3043</v>
      </c>
      <c r="O567" s="1312"/>
      <c r="P567" s="1312"/>
    </row>
    <row r="568" spans="1:16" ht="15.75" customHeight="1">
      <c r="A568" s="1314">
        <v>44929.496977083334</v>
      </c>
      <c r="B568" s="1310" t="s">
        <v>2612</v>
      </c>
      <c r="C568" s="1310" t="s">
        <v>2613</v>
      </c>
      <c r="D568" s="1310" t="s">
        <v>3048</v>
      </c>
      <c r="E568" s="1310" t="s">
        <v>3049</v>
      </c>
      <c r="F568" s="1310" t="s">
        <v>3050</v>
      </c>
      <c r="G568" s="1323">
        <v>0</v>
      </c>
      <c r="H568" s="486" t="e">
        <f t="array" aca="1" ref="H568" ca="1">+_xludf.IFS(E568="100% Presencial",1, E568="20% Teletrabajo (4 días a la semana)",0.8,E568="40% Teletrabajo (3 días a la semana)",0.6,E568="60% Teletrabajo (2 días a la semana)",0.4,E568="80% Teletrabajo (1 día a la semana)",0.2,E568="100% Teletrabajo",0)</f>
        <v>#NAME?</v>
      </c>
      <c r="I568" s="486" t="e">
        <f t="array" aca="1" ref="I568" ca="1">+_xludf.IFS(F568="Vehículo - Uso individual","Auto",F568="Vehículo - Uso compartido","Auto",F568="Transporte público/bus de acercamiento","Bus",F568="Moto","Moto",F568="Bicicleta o caminando","Bicicleta",F568="Ninguno, pues realicé 100% teletrabajo","No aplica",F568="Moto eléctrica","Moto eléctrica",F568="Vehículo eléctrico - Uso Individual","Vehículo eléctrico",F568="Vehículo eléctrico - Uso Compartido","Vehículo eléctrico")</f>
        <v>#NAME?</v>
      </c>
      <c r="J568" s="486">
        <v>1</v>
      </c>
      <c r="K568" s="1324" t="e">
        <f t="shared" ca="1" si="5"/>
        <v>#NAME?</v>
      </c>
      <c r="L568" s="1325">
        <f ca="1">+IFERROR(VLOOKUP(I568,'Factores Emisión EDGE'!$K$267:$L$272,2,0),0)</f>
        <v>0</v>
      </c>
      <c r="M568" s="1325" t="e">
        <f t="shared" ca="1" si="6"/>
        <v>#NAME?</v>
      </c>
      <c r="N568" s="486" t="s">
        <v>3043</v>
      </c>
      <c r="O568" s="1312"/>
      <c r="P568" s="1312"/>
    </row>
    <row r="569" spans="1:16" ht="15.75" customHeight="1">
      <c r="A569" s="1314">
        <v>44929.505028703701</v>
      </c>
      <c r="B569" s="1310" t="s">
        <v>1966</v>
      </c>
      <c r="C569" s="1310" t="s">
        <v>1967</v>
      </c>
      <c r="D569" s="1310" t="s">
        <v>3292</v>
      </c>
      <c r="E569" s="1310" t="s">
        <v>3049</v>
      </c>
      <c r="F569" s="1310" t="s">
        <v>3050</v>
      </c>
      <c r="G569" s="1323">
        <v>0</v>
      </c>
      <c r="H569" s="486" t="e">
        <f t="array" aca="1" ref="H569" ca="1">+_xludf.IFS(E569="100% Presencial",1, E569="20% Teletrabajo (4 días a la semana)",0.8,E569="40% Teletrabajo (3 días a la semana)",0.6,E569="60% Teletrabajo (2 días a la semana)",0.4,E569="80% Teletrabajo (1 día a la semana)",0.2,E569="100% Teletrabajo",0)</f>
        <v>#NAME?</v>
      </c>
      <c r="I569" s="486" t="e">
        <f t="array" aca="1" ref="I569" ca="1">+_xludf.IFS(F569="Vehículo - Uso individual","Auto",F569="Vehículo - Uso compartido","Auto",F569="Transporte público/bus de acercamiento","Bus",F569="Moto","Moto",F569="Bicicleta o caminando","Bicicleta",F569="Ninguno, pues realicé 100% teletrabajo","No aplica",F569="Moto eléctrica","Moto eléctrica",F569="Vehículo eléctrico - Uso Individual","Vehículo eléctrico",F569="Vehículo eléctrico - Uso Compartido","Vehículo eléctrico")</f>
        <v>#NAME?</v>
      </c>
      <c r="J569" s="486">
        <v>1</v>
      </c>
      <c r="K569" s="1324" t="e">
        <f t="shared" ca="1" si="5"/>
        <v>#NAME?</v>
      </c>
      <c r="L569" s="1325">
        <f ca="1">+IFERROR(VLOOKUP(I569,'Factores Emisión EDGE'!$K$267:$L$272,2,0),0)</f>
        <v>0</v>
      </c>
      <c r="M569" s="1325" t="e">
        <f t="shared" ca="1" si="6"/>
        <v>#NAME?</v>
      </c>
      <c r="N569" s="486" t="s">
        <v>3043</v>
      </c>
      <c r="O569" s="1312"/>
      <c r="P569" s="1312"/>
    </row>
    <row r="570" spans="1:16" ht="15.75" customHeight="1">
      <c r="A570" s="1314">
        <v>44930.651306539352</v>
      </c>
      <c r="B570" s="1310" t="s">
        <v>3883</v>
      </c>
      <c r="C570" s="1310" t="s">
        <v>3884</v>
      </c>
      <c r="D570" s="1310" t="s">
        <v>3046</v>
      </c>
      <c r="E570" s="1310" t="s">
        <v>3042</v>
      </c>
      <c r="F570" s="1310" t="s">
        <v>1983</v>
      </c>
      <c r="G570" s="1323">
        <v>0</v>
      </c>
      <c r="H570" s="486" t="e">
        <f t="array" aca="1" ref="H570" ca="1">+_xludf.IFS(E570="100% Presencial",1, E570="20% Teletrabajo (4 días a la semana)",0.8,E570="40% Teletrabajo (3 días a la semana)",0.6,E570="60% Teletrabajo (2 días a la semana)",0.4,E570="80% Teletrabajo (1 día a la semana)",0.2,E570="100% Teletrabajo",0)</f>
        <v>#NAME?</v>
      </c>
      <c r="I570" s="486" t="e">
        <f t="array" aca="1" ref="I570" ca="1">+_xludf.IFS(F570="Vehículo - Uso individual","Auto",F570="Vehículo - Uso compartido","Auto",F570="Transporte público/bus de acercamiento","Bus",F570="Moto","Moto",F570="Bicicleta o caminando","Bicicleta",F570="Ninguno, pues realicé 100% teletrabajo","No aplica",F570="Moto eléctrica","Moto eléctrica",F570="Vehículo eléctrico - Uso Individual","Vehículo eléctrico",F570="Vehículo eléctrico - Uso Compartido","Vehículo eléctrico")</f>
        <v>#NAME?</v>
      </c>
      <c r="J570" s="486">
        <v>1</v>
      </c>
      <c r="K570" s="1324" t="e">
        <f t="shared" ca="1" si="5"/>
        <v>#NAME?</v>
      </c>
      <c r="L570" s="1325">
        <f ca="1">+IFERROR(VLOOKUP(I570,'Factores Emisión EDGE'!$K$267:$L$272,2,0),0)</f>
        <v>0</v>
      </c>
      <c r="M570" s="1325" t="e">
        <f t="shared" ca="1" si="6"/>
        <v>#NAME?</v>
      </c>
      <c r="N570" s="486" t="s">
        <v>3056</v>
      </c>
      <c r="O570" s="1312"/>
      <c r="P570" s="1312"/>
    </row>
    <row r="571" spans="1:16" ht="15.75" customHeight="1">
      <c r="A571" s="1314">
        <v>44939.453432962968</v>
      </c>
      <c r="B571" s="1310" t="s">
        <v>2757</v>
      </c>
      <c r="C571" s="1310" t="s">
        <v>2758</v>
      </c>
      <c r="D571" s="1310" t="s">
        <v>3048</v>
      </c>
      <c r="E571" s="1310" t="s">
        <v>3049</v>
      </c>
      <c r="F571" s="1310" t="s">
        <v>3050</v>
      </c>
      <c r="G571" s="1323">
        <v>0</v>
      </c>
      <c r="H571" s="486" t="e">
        <f t="array" aca="1" ref="H571" ca="1">+_xludf.IFS(E571="100% Presencial",1, E571="20% Teletrabajo (4 días a la semana)",0.8,E571="40% Teletrabajo (3 días a la semana)",0.6,E571="60% Teletrabajo (2 días a la semana)",0.4,E571="80% Teletrabajo (1 día a la semana)",0.2,E571="100% Teletrabajo",0)</f>
        <v>#NAME?</v>
      </c>
      <c r="I571" s="486" t="e">
        <f t="array" aca="1" ref="I571" ca="1">+_xludf.IFS(F571="Vehículo - Uso individual","Auto",F571="Vehículo - Uso compartido","Auto",F571="Transporte público/bus de acercamiento","Bus",F571="Moto","Moto",F571="Bicicleta o caminando","Bicicleta",F571="Ninguno, pues realicé 100% teletrabajo","No aplica",F571="Moto eléctrica","Moto eléctrica",F571="Vehículo eléctrico - Uso Individual","Vehículo eléctrico",F571="Vehículo eléctrico - Uso Compartido","Vehículo eléctrico")</f>
        <v>#NAME?</v>
      </c>
      <c r="J571" s="486">
        <v>1</v>
      </c>
      <c r="K571" s="1324" t="e">
        <f t="shared" ca="1" si="5"/>
        <v>#NAME?</v>
      </c>
      <c r="L571" s="1325">
        <f ca="1">+IFERROR(VLOOKUP(I571,'Factores Emisión EDGE'!$K$267:$L$272,2,0),0)</f>
        <v>0</v>
      </c>
      <c r="M571" s="1325" t="e">
        <f t="shared" ca="1" si="6"/>
        <v>#NAME?</v>
      </c>
      <c r="N571" s="486" t="s">
        <v>3043</v>
      </c>
      <c r="O571" s="1312"/>
      <c r="P571" s="1312"/>
    </row>
    <row r="572" spans="1:16" ht="15.75" customHeight="1">
      <c r="A572" s="1314">
        <v>44939.712049571761</v>
      </c>
      <c r="B572" s="1310" t="s">
        <v>3885</v>
      </c>
      <c r="C572" s="1310" t="s">
        <v>3886</v>
      </c>
      <c r="D572" s="1310" t="s">
        <v>3048</v>
      </c>
      <c r="E572" s="1310" t="s">
        <v>3049</v>
      </c>
      <c r="F572" s="1310" t="s">
        <v>3050</v>
      </c>
      <c r="G572" s="1323">
        <v>0</v>
      </c>
      <c r="H572" s="486" t="e">
        <f t="array" aca="1" ref="H572" ca="1">+_xludf.IFS(E572="100% Presencial",1, E572="20% Teletrabajo (4 días a la semana)",0.8,E572="40% Teletrabajo (3 días a la semana)",0.6,E572="60% Teletrabajo (2 días a la semana)",0.4,E572="80% Teletrabajo (1 día a la semana)",0.2,E572="100% Teletrabajo",0)</f>
        <v>#NAME?</v>
      </c>
      <c r="I572" s="486" t="e">
        <f t="array" aca="1" ref="I572" ca="1">+_xludf.IFS(F572="Vehículo - Uso individual","Auto",F572="Vehículo - Uso compartido","Auto",F572="Transporte público/bus de acercamiento","Bus",F572="Moto","Moto",F572="Bicicleta o caminando","Bicicleta",F572="Ninguno, pues realicé 100% teletrabajo","No aplica",F572="Moto eléctrica","Moto eléctrica",F572="Vehículo eléctrico - Uso Individual","Vehículo eléctrico",F572="Vehículo eléctrico - Uso Compartido","Vehículo eléctrico")</f>
        <v>#NAME?</v>
      </c>
      <c r="J572" s="486">
        <v>1</v>
      </c>
      <c r="K572" s="1324" t="e">
        <f t="shared" ca="1" si="5"/>
        <v>#NAME?</v>
      </c>
      <c r="L572" s="1325">
        <f ca="1">+IFERROR(VLOOKUP(I572,'Factores Emisión EDGE'!$K$267:$L$272,2,0),0)</f>
        <v>0</v>
      </c>
      <c r="M572" s="1325" t="e">
        <f t="shared" ca="1" si="6"/>
        <v>#NAME?</v>
      </c>
      <c r="N572" s="486" t="s">
        <v>3043</v>
      </c>
      <c r="O572" s="1312"/>
      <c r="P572" s="1312"/>
    </row>
    <row r="573" spans="1:16" ht="15.75" customHeight="1">
      <c r="A573" s="1314">
        <v>44929.489205798614</v>
      </c>
      <c r="B573" s="1310" t="s">
        <v>3887</v>
      </c>
      <c r="C573" s="1310" t="s">
        <v>2133</v>
      </c>
      <c r="D573" s="1310" t="s">
        <v>3048</v>
      </c>
      <c r="E573" s="1310" t="s">
        <v>3049</v>
      </c>
      <c r="F573" s="1310" t="s">
        <v>3055</v>
      </c>
      <c r="G573" s="1331"/>
      <c r="H573" s="486" t="e">
        <f t="array" aca="1" ref="H573" ca="1">+_xludf.IFS(E573="100% Presencial",1, E573="20% Teletrabajo (4 días a la semana)",0.8,E573="40% Teletrabajo (3 días a la semana)",0.6,E573="60% Teletrabajo (2 días a la semana)",0.4,E573="80% Teletrabajo (1 día a la semana)",0.2,E573="100% Teletrabajo",0)</f>
        <v>#NAME?</v>
      </c>
      <c r="I573" s="486" t="e">
        <f t="array" aca="1" ref="I573" ca="1">+_xludf.IFS(F573="Vehículo - Uso individual","Auto",F573="Vehículo - Uso compartido","Auto",F573="Transporte público/bus de acercamiento","Bus",F573="Moto","Moto",F573="Bicicleta o caminando","Bicicleta",F573="Ninguno, pues realicé 100% teletrabajo","No aplica",F573="Moto eléctrica","Moto eléctrica",F573="Vehículo eléctrico - Uso Individual","Vehículo eléctrico",F573="Vehículo eléctrico - Uso Compartido","Vehículo eléctrico")</f>
        <v>#NAME?</v>
      </c>
      <c r="J573" s="486">
        <v>1</v>
      </c>
      <c r="K573" s="1324" t="e">
        <f t="shared" ca="1" si="5"/>
        <v>#NAME?</v>
      </c>
      <c r="L573" s="1325">
        <f ca="1">+IFERROR(VLOOKUP(I573,'Factores Emisión EDGE'!$K$267:$L$272,2,0),0)</f>
        <v>0</v>
      </c>
      <c r="M573" s="1325" t="e">
        <f t="shared" ca="1" si="6"/>
        <v>#NAME?</v>
      </c>
      <c r="N573" s="486" t="s">
        <v>3043</v>
      </c>
      <c r="O573" s="1312"/>
      <c r="P573" s="1312"/>
    </row>
    <row r="574" spans="1:16" ht="15.75" customHeight="1">
      <c r="A574" s="1314">
        <v>44929.494243981477</v>
      </c>
      <c r="B574" s="1310" t="s">
        <v>3888</v>
      </c>
      <c r="C574" s="1310" t="s">
        <v>3889</v>
      </c>
      <c r="D574" s="1310" t="s">
        <v>3048</v>
      </c>
      <c r="E574" s="1310" t="s">
        <v>3049</v>
      </c>
      <c r="F574" s="1310" t="s">
        <v>3050</v>
      </c>
      <c r="G574" s="1331"/>
      <c r="H574" s="486" t="e">
        <f t="array" aca="1" ref="H574" ca="1">+_xludf.IFS(E574="100% Presencial",1, E574="20% Teletrabajo (4 días a la semana)",0.8,E574="40% Teletrabajo (3 días a la semana)",0.6,E574="60% Teletrabajo (2 días a la semana)",0.4,E574="80% Teletrabajo (1 día a la semana)",0.2,E574="100% Teletrabajo",0)</f>
        <v>#NAME?</v>
      </c>
      <c r="I574" s="486" t="e">
        <f t="array" aca="1" ref="I574" ca="1">+_xludf.IFS(F574="Vehículo - Uso individual","Auto",F574="Vehículo - Uso compartido","Auto",F574="Transporte público/bus de acercamiento","Bus",F574="Moto","Moto",F574="Bicicleta o caminando","Bicicleta",F574="Ninguno, pues realicé 100% teletrabajo","No aplica",F574="Moto eléctrica","Moto eléctrica",F574="Vehículo eléctrico - Uso Individual","Vehículo eléctrico",F574="Vehículo eléctrico - Uso Compartido","Vehículo eléctrico")</f>
        <v>#NAME?</v>
      </c>
      <c r="J574" s="486">
        <v>1</v>
      </c>
      <c r="K574" s="1324" t="e">
        <f t="shared" ca="1" si="5"/>
        <v>#NAME?</v>
      </c>
      <c r="L574" s="1325">
        <f ca="1">+IFERROR(VLOOKUP(I574,'Factores Emisión EDGE'!$K$267:$L$272,2,0),0)</f>
        <v>0</v>
      </c>
      <c r="M574" s="1325" t="e">
        <f t="shared" ca="1" si="6"/>
        <v>#NAME?</v>
      </c>
      <c r="N574" s="486" t="s">
        <v>3043</v>
      </c>
      <c r="O574" s="1312"/>
      <c r="P574" s="1312"/>
    </row>
    <row r="575" spans="1:16" ht="15.75" customHeight="1">
      <c r="A575" s="1314">
        <v>44929.556047476857</v>
      </c>
      <c r="B575" s="1310" t="s">
        <v>3890</v>
      </c>
      <c r="C575" s="1310" t="s">
        <v>2030</v>
      </c>
      <c r="D575" s="1310" t="s">
        <v>3048</v>
      </c>
      <c r="E575" s="1310" t="s">
        <v>3049</v>
      </c>
      <c r="F575" s="1310" t="s">
        <v>3050</v>
      </c>
      <c r="G575" s="1331"/>
      <c r="H575" s="486" t="e">
        <f t="array" aca="1" ref="H575" ca="1">+_xludf.IFS(E575="100% Presencial",1, E575="20% Teletrabajo (4 días a la semana)",0.8,E575="40% Teletrabajo (3 días a la semana)",0.6,E575="60% Teletrabajo (2 días a la semana)",0.4,E575="80% Teletrabajo (1 día a la semana)",0.2,E575="100% Teletrabajo",0)</f>
        <v>#NAME?</v>
      </c>
      <c r="I575" s="486" t="e">
        <f t="array" aca="1" ref="I575" ca="1">+_xludf.IFS(F575="Vehículo - Uso individual","Auto",F575="Vehículo - Uso compartido","Auto",F575="Transporte público/bus de acercamiento","Bus",F575="Moto","Moto",F575="Bicicleta o caminando","Bicicleta",F575="Ninguno, pues realicé 100% teletrabajo","No aplica",F575="Moto eléctrica","Moto eléctrica",F575="Vehículo eléctrico - Uso Individual","Vehículo eléctrico",F575="Vehículo eléctrico - Uso Compartido","Vehículo eléctrico")</f>
        <v>#NAME?</v>
      </c>
      <c r="J575" s="486">
        <v>1</v>
      </c>
      <c r="K575" s="1324" t="e">
        <f t="shared" ca="1" si="5"/>
        <v>#NAME?</v>
      </c>
      <c r="L575" s="1325">
        <f ca="1">+IFERROR(VLOOKUP(I575,'Factores Emisión EDGE'!$K$267:$L$272,2,0),0)</f>
        <v>0</v>
      </c>
      <c r="M575" s="1325" t="e">
        <f t="shared" ca="1" si="6"/>
        <v>#NAME?</v>
      </c>
      <c r="N575" s="486" t="s">
        <v>3043</v>
      </c>
      <c r="O575" s="1312"/>
      <c r="P575" s="1312"/>
    </row>
    <row r="576" spans="1:16" ht="15.75" customHeight="1">
      <c r="A576" s="1314">
        <v>44929.592016921291</v>
      </c>
      <c r="B576" s="1310" t="s">
        <v>2577</v>
      </c>
      <c r="C576" s="1310" t="s">
        <v>2578</v>
      </c>
      <c r="D576" s="1310" t="s">
        <v>3048</v>
      </c>
      <c r="E576" s="1310" t="s">
        <v>3049</v>
      </c>
      <c r="F576" s="1310" t="s">
        <v>3050</v>
      </c>
      <c r="G576" s="1331"/>
      <c r="H576" s="486" t="e">
        <f t="array" aca="1" ref="H576" ca="1">+_xludf.IFS(E576="100% Presencial",1, E576="20% Teletrabajo (4 días a la semana)",0.8,E576="40% Teletrabajo (3 días a la semana)",0.6,E576="60% Teletrabajo (2 días a la semana)",0.4,E576="80% Teletrabajo (1 día a la semana)",0.2,E576="100% Teletrabajo",0)</f>
        <v>#NAME?</v>
      </c>
      <c r="I576" s="486" t="e">
        <f t="array" aca="1" ref="I576" ca="1">+_xludf.IFS(F576="Vehículo - Uso individual","Auto",F576="Vehículo - Uso compartido","Auto",F576="Transporte público/bus de acercamiento","Bus",F576="Moto","Moto",F576="Bicicleta o caminando","Bicicleta",F576="Ninguno, pues realicé 100% teletrabajo","No aplica",F576="Moto eléctrica","Moto eléctrica",F576="Vehículo eléctrico - Uso Individual","Vehículo eléctrico",F576="Vehículo eléctrico - Uso Compartido","Vehículo eléctrico")</f>
        <v>#NAME?</v>
      </c>
      <c r="J576" s="486">
        <v>1</v>
      </c>
      <c r="K576" s="1324" t="e">
        <f t="shared" ca="1" si="5"/>
        <v>#NAME?</v>
      </c>
      <c r="L576" s="1325">
        <f ca="1">+IFERROR(VLOOKUP(I576,'Factores Emisión EDGE'!$K$267:$L$272,2,0),0)</f>
        <v>0</v>
      </c>
      <c r="M576" s="1325" t="e">
        <f t="shared" ca="1" si="6"/>
        <v>#NAME?</v>
      </c>
      <c r="N576" s="486" t="s">
        <v>3043</v>
      </c>
      <c r="O576" s="1312"/>
      <c r="P576" s="1312"/>
    </row>
    <row r="577" spans="1:16" ht="15.75" customHeight="1">
      <c r="A577" s="1314">
        <v>44929.708903819439</v>
      </c>
      <c r="B577" s="1310" t="s">
        <v>3891</v>
      </c>
      <c r="C577" s="1310" t="s">
        <v>3892</v>
      </c>
      <c r="D577" s="1310" t="s">
        <v>3048</v>
      </c>
      <c r="E577" s="1310" t="s">
        <v>3049</v>
      </c>
      <c r="F577" s="1310" t="s">
        <v>3050</v>
      </c>
      <c r="G577" s="1331"/>
      <c r="H577" s="486" t="e">
        <f t="array" aca="1" ref="H577" ca="1">+_xludf.IFS(E577="100% Presencial",1, E577="20% Teletrabajo (4 días a la semana)",0.8,E577="40% Teletrabajo (3 días a la semana)",0.6,E577="60% Teletrabajo (2 días a la semana)",0.4,E577="80% Teletrabajo (1 día a la semana)",0.2,E577="100% Teletrabajo",0)</f>
        <v>#NAME?</v>
      </c>
      <c r="I577" s="486" t="e">
        <f t="array" aca="1" ref="I577" ca="1">+_xludf.IFS(F577="Vehículo - Uso individual","Auto",F577="Vehículo - Uso compartido","Auto",F577="Transporte público/bus de acercamiento","Bus",F577="Moto","Moto",F577="Bicicleta o caminando","Bicicleta",F577="Ninguno, pues realicé 100% teletrabajo","No aplica",F577="Moto eléctrica","Moto eléctrica",F577="Vehículo eléctrico - Uso Individual","Vehículo eléctrico",F577="Vehículo eléctrico - Uso Compartido","Vehículo eléctrico")</f>
        <v>#NAME?</v>
      </c>
      <c r="J577" s="486">
        <v>1</v>
      </c>
      <c r="K577" s="1324" t="e">
        <f t="shared" ca="1" si="5"/>
        <v>#NAME?</v>
      </c>
      <c r="L577" s="1325">
        <f ca="1">+IFERROR(VLOOKUP(I577,'Factores Emisión EDGE'!$K$267:$L$272,2,0),0)</f>
        <v>0</v>
      </c>
      <c r="M577" s="1325" t="e">
        <f t="shared" ca="1" si="6"/>
        <v>#NAME?</v>
      </c>
      <c r="N577" s="486" t="s">
        <v>3043</v>
      </c>
      <c r="O577" s="1312"/>
      <c r="P577" s="1312"/>
    </row>
    <row r="578" spans="1:16" ht="15.75" customHeight="1">
      <c r="A578" s="1314">
        <v>44930.680299421292</v>
      </c>
      <c r="B578" s="1310" t="s">
        <v>3893</v>
      </c>
      <c r="C578" s="1310" t="s">
        <v>3894</v>
      </c>
      <c r="D578" s="1310" t="s">
        <v>3048</v>
      </c>
      <c r="E578" s="1310" t="s">
        <v>3042</v>
      </c>
      <c r="F578" s="1310" t="s">
        <v>3055</v>
      </c>
      <c r="G578" s="1331"/>
      <c r="H578" s="486" t="e">
        <f t="array" aca="1" ref="H578" ca="1">+_xludf.IFS(E578="100% Presencial",1, E578="20% Teletrabajo (4 días a la semana)",0.8,E578="40% Teletrabajo (3 días a la semana)",0.6,E578="60% Teletrabajo (2 días a la semana)",0.4,E578="80% Teletrabajo (1 día a la semana)",0.2,E578="100% Teletrabajo",0)</f>
        <v>#NAME?</v>
      </c>
      <c r="I578" s="486" t="e">
        <f t="array" aca="1" ref="I578" ca="1">+_xludf.IFS(F578="Vehículo - Uso individual","Auto",F578="Vehículo - Uso compartido","Auto",F578="Transporte público/bus de acercamiento","Bus",F578="Moto","Moto",F578="Bicicleta o caminando","Bicicleta",F578="Ninguno, pues realicé 100% teletrabajo","No aplica",F578="Moto eléctrica","Moto eléctrica",F578="Vehículo eléctrico - Uso Individual","Vehículo eléctrico",F578="Vehículo eléctrico - Uso Compartido","Vehículo eléctrico")</f>
        <v>#NAME?</v>
      </c>
      <c r="J578" s="486">
        <v>1</v>
      </c>
      <c r="K578" s="1324" t="e">
        <f t="shared" ca="1" si="5"/>
        <v>#NAME?</v>
      </c>
      <c r="L578" s="1325">
        <f ca="1">+IFERROR(VLOOKUP(I578,'Factores Emisión EDGE'!$K$267:$L$272,2,0),0)</f>
        <v>0</v>
      </c>
      <c r="M578" s="1325" t="e">
        <f t="shared" ca="1" si="6"/>
        <v>#NAME?</v>
      </c>
      <c r="N578" s="486" t="s">
        <v>3056</v>
      </c>
      <c r="O578" s="1312"/>
      <c r="P578" s="1312"/>
    </row>
    <row r="579" spans="1:16" ht="15.75" customHeight="1">
      <c r="A579" s="1314">
        <v>44930.691933310183</v>
      </c>
      <c r="B579" s="1310" t="s">
        <v>3895</v>
      </c>
      <c r="C579" s="1310" t="s">
        <v>3896</v>
      </c>
      <c r="D579" s="1310" t="s">
        <v>3133</v>
      </c>
      <c r="E579" s="1310" t="s">
        <v>3042</v>
      </c>
      <c r="F579" s="1310" t="s">
        <v>1983</v>
      </c>
      <c r="G579" s="1331"/>
      <c r="H579" s="486" t="e">
        <f t="array" aca="1" ref="H579" ca="1">+_xludf.IFS(E579="100% Presencial",1, E579="20% Teletrabajo (4 días a la semana)",0.8,E579="40% Teletrabajo (3 días a la semana)",0.6,E579="60% Teletrabajo (2 días a la semana)",0.4,E579="80% Teletrabajo (1 día a la semana)",0.2,E579="100% Teletrabajo",0)</f>
        <v>#NAME?</v>
      </c>
      <c r="I579" s="486" t="e">
        <f t="array" aca="1" ref="I579" ca="1">+_xludf.IFS(F579="Vehículo - Uso individual","Auto",F579="Vehículo - Uso compartido","Auto",F579="Transporte público/bus de acercamiento","Bus",F579="Moto","Moto",F579="Bicicleta o caminando","Bicicleta",F579="Ninguno, pues realicé 100% teletrabajo","No aplica",F579="Moto eléctrica","Moto eléctrica",F579="Vehículo eléctrico - Uso Individual","Vehículo eléctrico",F579="Vehículo eléctrico - Uso Compartido","Vehículo eléctrico")</f>
        <v>#NAME?</v>
      </c>
      <c r="J579" s="486">
        <v>1</v>
      </c>
      <c r="K579" s="1324" t="e">
        <f t="shared" ca="1" si="5"/>
        <v>#NAME?</v>
      </c>
      <c r="L579" s="1325">
        <f ca="1">+IFERROR(VLOOKUP(I579,'Factores Emisión EDGE'!$K$267:$L$272,2,0),0)</f>
        <v>0</v>
      </c>
      <c r="M579" s="1325" t="e">
        <f t="shared" ca="1" si="6"/>
        <v>#NAME?</v>
      </c>
      <c r="N579" s="486" t="s">
        <v>3056</v>
      </c>
      <c r="O579" s="1312"/>
      <c r="P579" s="1312"/>
    </row>
    <row r="580" spans="1:16" ht="15.75" customHeight="1">
      <c r="A580" s="1314">
        <v>44932.665636817124</v>
      </c>
      <c r="B580" s="1310" t="s">
        <v>2930</v>
      </c>
      <c r="C580" s="1310" t="s">
        <v>2931</v>
      </c>
      <c r="E580" s="1310" t="s">
        <v>3042</v>
      </c>
      <c r="F580" s="1310" t="s">
        <v>1952</v>
      </c>
      <c r="G580" s="1331"/>
      <c r="H580" s="486" t="e">
        <f t="array" aca="1" ref="H580" ca="1">+_xludf.IFS(E580="100% Presencial",1, E580="20% Teletrabajo (4 días a la semana)",0.8,E580="40% Teletrabajo (3 días a la semana)",0.6,E580="60% Teletrabajo (2 días a la semana)",0.4,E580="80% Teletrabajo (1 día a la semana)",0.2,E580="100% Teletrabajo",0)</f>
        <v>#NAME?</v>
      </c>
      <c r="I580" s="486" t="e">
        <f t="array" aca="1" ref="I580" ca="1">+_xludf.IFS(F580="Vehículo - Uso individual","Auto",F580="Vehículo - Uso compartido","Auto",F580="Transporte público/bus de acercamiento","Bus",F580="Moto","Moto",F580="Bicicleta o caminando","Bicicleta",F580="Ninguno, pues realicé 100% teletrabajo","No aplica",F580="Moto eléctrica","Moto eléctrica",F580="Vehículo eléctrico - Uso Individual","Vehículo eléctrico",F580="Vehículo eléctrico - Uso Compartido","Vehículo eléctrico")</f>
        <v>#NAME?</v>
      </c>
      <c r="J580" s="486">
        <v>1</v>
      </c>
      <c r="K580" s="1324" t="e">
        <f t="shared" ca="1" si="5"/>
        <v>#NAME?</v>
      </c>
      <c r="L580" s="1325">
        <f ca="1">+IFERROR(VLOOKUP(I580,'Factores Emisión EDGE'!$K$267:$L$272,2,0),0)</f>
        <v>0</v>
      </c>
      <c r="M580" s="1325" t="e">
        <f t="shared" ca="1" si="6"/>
        <v>#NAME?</v>
      </c>
      <c r="N580" s="486" t="s">
        <v>3056</v>
      </c>
      <c r="O580" s="1312"/>
      <c r="P580" s="1312"/>
    </row>
    <row r="581" spans="1:16" ht="15.75" customHeight="1">
      <c r="A581" s="1314">
        <v>44936.429658240741</v>
      </c>
      <c r="B581" s="1310" t="s">
        <v>3897</v>
      </c>
      <c r="C581" s="1310" t="s">
        <v>3898</v>
      </c>
      <c r="D581" s="1310" t="s">
        <v>3285</v>
      </c>
      <c r="E581" s="1310" t="s">
        <v>3042</v>
      </c>
      <c r="F581" s="1310" t="s">
        <v>3055</v>
      </c>
      <c r="G581" s="1331"/>
      <c r="H581" s="486" t="e">
        <f t="array" aca="1" ref="H581" ca="1">+_xludf.IFS(E581="100% Presencial",1, E581="20% Teletrabajo (4 días a la semana)",0.8,E581="40% Teletrabajo (3 días a la semana)",0.6,E581="60% Teletrabajo (2 días a la semana)",0.4,E581="80% Teletrabajo (1 día a la semana)",0.2,E581="100% Teletrabajo",0)</f>
        <v>#NAME?</v>
      </c>
      <c r="I581" s="486" t="e">
        <f t="array" aca="1" ref="I581" ca="1">+_xludf.IFS(F581="Vehículo - Uso individual","Auto",F581="Vehículo - Uso compartido","Auto",F581="Transporte público/bus de acercamiento","Bus",F581="Moto","Moto",F581="Bicicleta o caminando","Bicicleta",F581="Ninguno, pues realicé 100% teletrabajo","No aplica",F581="Moto eléctrica","Moto eléctrica",F581="Vehículo eléctrico - Uso Individual","Vehículo eléctrico",F581="Vehículo eléctrico - Uso Compartido","Vehículo eléctrico")</f>
        <v>#NAME?</v>
      </c>
      <c r="J581" s="486">
        <v>1</v>
      </c>
      <c r="K581" s="1324" t="e">
        <f t="shared" ca="1" si="5"/>
        <v>#NAME?</v>
      </c>
      <c r="L581" s="1325">
        <f ca="1">+IFERROR(VLOOKUP(I581,'Factores Emisión EDGE'!$K$267:$L$272,2,0),0)</f>
        <v>0</v>
      </c>
      <c r="M581" s="1325" t="e">
        <f t="shared" ca="1" si="6"/>
        <v>#NAME?</v>
      </c>
      <c r="N581" s="486" t="s">
        <v>3043</v>
      </c>
      <c r="O581" s="1312"/>
      <c r="P581" s="1312"/>
    </row>
    <row r="582" spans="1:16" ht="15.75" customHeight="1">
      <c r="A582" s="1314">
        <v>44936.683461249995</v>
      </c>
      <c r="B582" s="1310" t="s">
        <v>2455</v>
      </c>
      <c r="C582" s="1310" t="s">
        <v>2456</v>
      </c>
      <c r="D582" s="1310" t="s">
        <v>3292</v>
      </c>
      <c r="E582" s="1310" t="s">
        <v>3042</v>
      </c>
      <c r="F582" s="1310" t="s">
        <v>3055</v>
      </c>
      <c r="G582" s="1331"/>
      <c r="H582" s="486" t="e">
        <f t="array" aca="1" ref="H582" ca="1">+_xludf.IFS(E582="100% Presencial",1, E582="20% Teletrabajo (4 días a la semana)",0.8,E582="40% Teletrabajo (3 días a la semana)",0.6,E582="60% Teletrabajo (2 días a la semana)",0.4,E582="80% Teletrabajo (1 día a la semana)",0.2,E582="100% Teletrabajo",0)</f>
        <v>#NAME?</v>
      </c>
      <c r="I582" s="486" t="e">
        <f t="array" aca="1" ref="I582" ca="1">+_xludf.IFS(F582="Vehículo - Uso individual","Auto",F582="Vehículo - Uso compartido","Auto",F582="Transporte público/bus de acercamiento","Bus",F582="Moto","Moto",F582="Bicicleta o caminando","Bicicleta",F582="Ninguno, pues realicé 100% teletrabajo","No aplica",F582="Moto eléctrica","Moto eléctrica",F582="Vehículo eléctrico - Uso Individual","Vehículo eléctrico",F582="Vehículo eléctrico - Uso Compartido","Vehículo eléctrico")</f>
        <v>#NAME?</v>
      </c>
      <c r="J582" s="486">
        <v>1</v>
      </c>
      <c r="K582" s="1324" t="e">
        <f t="shared" ca="1" si="5"/>
        <v>#NAME?</v>
      </c>
      <c r="L582" s="1325">
        <f ca="1">+IFERROR(VLOOKUP(I582,'Factores Emisión EDGE'!$K$267:$L$272,2,0),0)</f>
        <v>0</v>
      </c>
      <c r="M582" s="1325" t="e">
        <f t="shared" ca="1" si="6"/>
        <v>#NAME?</v>
      </c>
      <c r="N582" s="486" t="s">
        <v>3043</v>
      </c>
      <c r="O582" s="1312"/>
      <c r="P582" s="1312"/>
    </row>
    <row r="583" spans="1:16" ht="15.75" customHeight="1">
      <c r="A583" s="1314">
        <v>44938.54543082176</v>
      </c>
      <c r="B583" s="1310" t="s">
        <v>3899</v>
      </c>
      <c r="C583" s="1310" t="s">
        <v>3900</v>
      </c>
      <c r="D583" s="1310" t="s">
        <v>3107</v>
      </c>
      <c r="E583" s="1310" t="s">
        <v>3042</v>
      </c>
      <c r="F583" s="1310" t="s">
        <v>1995</v>
      </c>
      <c r="G583" s="1331"/>
      <c r="H583" s="486" t="e">
        <f t="array" aca="1" ref="H583" ca="1">+_xludf.IFS(E583="100% Presencial",1, E583="20% Teletrabajo (4 días a la semana)",0.8,E583="40% Teletrabajo (3 días a la semana)",0.6,E583="60% Teletrabajo (2 días a la semana)",0.4,E583="80% Teletrabajo (1 día a la semana)",0.2,E583="100% Teletrabajo",0)</f>
        <v>#NAME?</v>
      </c>
      <c r="I583" s="486" t="e">
        <f t="array" aca="1" ref="I583" ca="1">+_xludf.IFS(F583="Vehículo - Uso individual","Auto",F583="Vehículo - Uso compartido","Auto",F583="Transporte público/bus de acercamiento","Bus",F583="Moto","Moto",F583="Bicicleta o caminando","Bicicleta",F583="Ninguno, pues realicé 100% teletrabajo","No aplica",F583="Moto eléctrica","Moto eléctrica",F583="Vehículo eléctrico - Uso Individual","Vehículo eléctrico",F583="Vehículo eléctrico - Uso Compartido","Vehículo eléctrico")</f>
        <v>#NAME?</v>
      </c>
      <c r="J583" s="486">
        <v>0.25</v>
      </c>
      <c r="K583" s="1324" t="e">
        <f t="shared" ca="1" si="5"/>
        <v>#NAME?</v>
      </c>
      <c r="L583" s="1325">
        <f ca="1">+IFERROR(VLOOKUP(I583,'Factores Emisión EDGE'!$K$267:$L$272,2,0),0)</f>
        <v>0</v>
      </c>
      <c r="M583" s="1325" t="e">
        <f t="shared" ca="1" si="6"/>
        <v>#NAME?</v>
      </c>
      <c r="N583" s="486" t="s">
        <v>3056</v>
      </c>
      <c r="O583" s="1312"/>
      <c r="P583" s="1312"/>
    </row>
    <row r="584" spans="1:16" ht="15.75" customHeight="1">
      <c r="A584" s="1314">
        <v>44938.692758900463</v>
      </c>
      <c r="B584" s="1310" t="s">
        <v>3901</v>
      </c>
      <c r="C584" s="1310" t="s">
        <v>3902</v>
      </c>
      <c r="D584" s="1310" t="s">
        <v>3048</v>
      </c>
      <c r="E584" s="1310" t="s">
        <v>3042</v>
      </c>
      <c r="F584" s="1310" t="s">
        <v>1995</v>
      </c>
      <c r="G584" s="1331"/>
      <c r="H584" s="486" t="e">
        <f t="array" aca="1" ref="H584" ca="1">+_xludf.IFS(E584="100% Presencial",1, E584="20% Teletrabajo (4 días a la semana)",0.8,E584="40% Teletrabajo (3 días a la semana)",0.6,E584="60% Teletrabajo (2 días a la semana)",0.4,E584="80% Teletrabajo (1 día a la semana)",0.2,E584="100% Teletrabajo",0)</f>
        <v>#NAME?</v>
      </c>
      <c r="I584" s="486" t="e">
        <f t="array" aca="1" ref="I584" ca="1">+_xludf.IFS(F584="Vehículo - Uso individual","Auto",F584="Vehículo - Uso compartido","Auto",F584="Transporte público/bus de acercamiento","Bus",F584="Moto","Moto",F584="Bicicleta o caminando","Bicicleta",F584="Ninguno, pues realicé 100% teletrabajo","No aplica",F584="Moto eléctrica","Moto eléctrica",F584="Vehículo eléctrico - Uso Individual","Vehículo eléctrico",F584="Vehículo eléctrico - Uso Compartido","Vehículo eléctrico")</f>
        <v>#NAME?</v>
      </c>
      <c r="J584" s="486">
        <v>0.25</v>
      </c>
      <c r="K584" s="1324" t="e">
        <f t="shared" ca="1" si="5"/>
        <v>#NAME?</v>
      </c>
      <c r="L584" s="1325">
        <f ca="1">+IFERROR(VLOOKUP(I584,'Factores Emisión EDGE'!$K$267:$L$272,2,0),0)</f>
        <v>0</v>
      </c>
      <c r="M584" s="1325" t="e">
        <f t="shared" ca="1" si="6"/>
        <v>#NAME?</v>
      </c>
      <c r="N584" s="486" t="s">
        <v>3056</v>
      </c>
      <c r="O584" s="1312"/>
      <c r="P584" s="1312"/>
    </row>
    <row r="585" spans="1:16" ht="15.75" customHeight="1">
      <c r="A585" s="1314">
        <v>44938.892095787036</v>
      </c>
      <c r="B585" s="1310" t="s">
        <v>3903</v>
      </c>
      <c r="C585" s="1310" t="s">
        <v>3904</v>
      </c>
      <c r="D585" s="1310" t="s">
        <v>3048</v>
      </c>
      <c r="E585" s="1310" t="s">
        <v>3042</v>
      </c>
      <c r="F585" s="1310" t="s">
        <v>3055</v>
      </c>
      <c r="G585" s="1331"/>
      <c r="H585" s="486" t="e">
        <f t="array" aca="1" ref="H585" ca="1">+_xludf.IFS(E585="100% Presencial",1, E585="20% Teletrabajo (4 días a la semana)",0.8,E585="40% Teletrabajo (3 días a la semana)",0.6,E585="60% Teletrabajo (2 días a la semana)",0.4,E585="80% Teletrabajo (1 día a la semana)",0.2,E585="100% Teletrabajo",0)</f>
        <v>#NAME?</v>
      </c>
      <c r="I585" s="486" t="e">
        <f t="array" aca="1" ref="I585" ca="1">+_xludf.IFS(F585="Vehículo - Uso individual","Auto",F585="Vehículo - Uso compartido","Auto",F585="Transporte público/bus de acercamiento","Bus",F585="Moto","Moto",F585="Bicicleta o caminando","Bicicleta",F585="Ninguno, pues realicé 100% teletrabajo","No aplica",F585="Moto eléctrica","Moto eléctrica",F585="Vehículo eléctrico - Uso Individual","Vehículo eléctrico",F585="Vehículo eléctrico - Uso Compartido","Vehículo eléctrico")</f>
        <v>#NAME?</v>
      </c>
      <c r="J585" s="486">
        <v>1</v>
      </c>
      <c r="K585" s="1324" t="e">
        <f t="shared" ca="1" si="5"/>
        <v>#NAME?</v>
      </c>
      <c r="L585" s="1325">
        <f ca="1">+IFERROR(VLOOKUP(I585,'Factores Emisión EDGE'!$K$267:$L$272,2,0),0)</f>
        <v>0</v>
      </c>
      <c r="M585" s="1325" t="e">
        <f t="shared" ca="1" si="6"/>
        <v>#NAME?</v>
      </c>
      <c r="N585" s="486" t="s">
        <v>3056</v>
      </c>
      <c r="O585" s="1312"/>
      <c r="P585" s="1312"/>
    </row>
    <row r="586" spans="1:16" ht="15.75" customHeight="1">
      <c r="A586" s="1314">
        <v>44939.377986574073</v>
      </c>
      <c r="B586" s="1310" t="s">
        <v>3905</v>
      </c>
      <c r="C586" s="1310" t="s">
        <v>3906</v>
      </c>
      <c r="D586" s="1310" t="s">
        <v>3048</v>
      </c>
      <c r="E586" s="1310" t="s">
        <v>3049</v>
      </c>
      <c r="F586" s="1310" t="s">
        <v>3050</v>
      </c>
      <c r="G586" s="1331"/>
      <c r="H586" s="486" t="e">
        <f t="array" aca="1" ref="H586" ca="1">+_xludf.IFS(E586="100% Presencial",1, E586="20% Teletrabajo (4 días a la semana)",0.8,E586="40% Teletrabajo (3 días a la semana)",0.6,E586="60% Teletrabajo (2 días a la semana)",0.4,E586="80% Teletrabajo (1 día a la semana)",0.2,E586="100% Teletrabajo",0)</f>
        <v>#NAME?</v>
      </c>
      <c r="I586" s="486" t="e">
        <f t="array" aca="1" ref="I586" ca="1">+_xludf.IFS(F586="Vehículo - Uso individual","Auto",F586="Vehículo - Uso compartido","Auto",F586="Transporte público/bus de acercamiento","Bus",F586="Moto","Moto",F586="Bicicleta o caminando","Bicicleta",F586="Ninguno, pues realicé 100% teletrabajo","No aplica",F586="Moto eléctrica","Moto eléctrica",F586="Vehículo eléctrico - Uso Individual","Vehículo eléctrico",F586="Vehículo eléctrico - Uso Compartido","Vehículo eléctrico")</f>
        <v>#NAME?</v>
      </c>
      <c r="J586" s="486">
        <v>1</v>
      </c>
      <c r="K586" s="1324" t="e">
        <f t="shared" ca="1" si="5"/>
        <v>#NAME?</v>
      </c>
      <c r="L586" s="1325">
        <f ca="1">+IFERROR(VLOOKUP(I586,'Factores Emisión EDGE'!$K$267:$L$272,2,0),0)</f>
        <v>0</v>
      </c>
      <c r="M586" s="1325" t="e">
        <f t="shared" ca="1" si="6"/>
        <v>#NAME?</v>
      </c>
      <c r="N586" s="486" t="s">
        <v>3056</v>
      </c>
      <c r="O586" s="1312"/>
      <c r="P586" s="1312"/>
    </row>
    <row r="587" spans="1:16" ht="15.75" customHeight="1">
      <c r="A587" s="1314">
        <v>44939.382410486112</v>
      </c>
      <c r="B587" s="1310" t="s">
        <v>3907</v>
      </c>
      <c r="C587" s="1310" t="s">
        <v>3908</v>
      </c>
      <c r="D587" s="1310" t="s">
        <v>3048</v>
      </c>
      <c r="E587" s="1310" t="s">
        <v>3049</v>
      </c>
      <c r="F587" s="1310" t="s">
        <v>3050</v>
      </c>
      <c r="G587" s="1331"/>
      <c r="H587" s="486" t="e">
        <f t="array" aca="1" ref="H587" ca="1">+_xludf.IFS(E587="100% Presencial",1, E587="20% Teletrabajo (4 días a la semana)",0.8,E587="40% Teletrabajo (3 días a la semana)",0.6,E587="60% Teletrabajo (2 días a la semana)",0.4,E587="80% Teletrabajo (1 día a la semana)",0.2,E587="100% Teletrabajo",0)</f>
        <v>#NAME?</v>
      </c>
      <c r="I587" s="486" t="e">
        <f t="array" aca="1" ref="I587" ca="1">+_xludf.IFS(F587="Vehículo - Uso individual","Auto",F587="Vehículo - Uso compartido","Auto",F587="Transporte público/bus de acercamiento","Bus",F587="Moto","Moto",F587="Bicicleta o caminando","Bicicleta",F587="Ninguno, pues realicé 100% teletrabajo","No aplica",F587="Moto eléctrica","Moto eléctrica",F587="Vehículo eléctrico - Uso Individual","Vehículo eléctrico",F587="Vehículo eléctrico - Uso Compartido","Vehículo eléctrico")</f>
        <v>#NAME?</v>
      </c>
      <c r="J587" s="486">
        <v>1</v>
      </c>
      <c r="K587" s="1324" t="e">
        <f t="shared" ca="1" si="5"/>
        <v>#NAME?</v>
      </c>
      <c r="L587" s="1325">
        <f ca="1">+IFERROR(VLOOKUP(I587,'Factores Emisión EDGE'!$K$267:$L$272,2,0),0)</f>
        <v>0</v>
      </c>
      <c r="M587" s="1325" t="e">
        <f t="shared" ca="1" si="6"/>
        <v>#NAME?</v>
      </c>
      <c r="N587" s="486" t="s">
        <v>3043</v>
      </c>
      <c r="O587" s="1312"/>
      <c r="P587" s="1312"/>
    </row>
    <row r="588" spans="1:16" ht="15.75" customHeight="1">
      <c r="A588" s="1314">
        <v>44939.390730393519</v>
      </c>
      <c r="B588" s="1310" t="s">
        <v>3909</v>
      </c>
      <c r="C588" s="1310" t="s">
        <v>3910</v>
      </c>
      <c r="D588" s="1310" t="s">
        <v>3048</v>
      </c>
      <c r="E588" s="1310" t="s">
        <v>3049</v>
      </c>
      <c r="F588" s="1310" t="s">
        <v>3050</v>
      </c>
      <c r="G588" s="1331"/>
      <c r="H588" s="486" t="e">
        <f t="array" aca="1" ref="H588" ca="1">+_xludf.IFS(E588="100% Presencial",1, E588="20% Teletrabajo (4 días a la semana)",0.8,E588="40% Teletrabajo (3 días a la semana)",0.6,E588="60% Teletrabajo (2 días a la semana)",0.4,E588="80% Teletrabajo (1 día a la semana)",0.2,E588="100% Teletrabajo",0)</f>
        <v>#NAME?</v>
      </c>
      <c r="I588" s="486" t="e">
        <f t="array" aca="1" ref="I588" ca="1">+_xludf.IFS(F588="Vehículo - Uso individual","Auto",F588="Vehículo - Uso compartido","Auto",F588="Transporte público/bus de acercamiento","Bus",F588="Moto","Moto",F588="Bicicleta o caminando","Bicicleta",F588="Ninguno, pues realicé 100% teletrabajo","No aplica",F588="Moto eléctrica","Moto eléctrica",F588="Vehículo eléctrico - Uso Individual","Vehículo eléctrico",F588="Vehículo eléctrico - Uso Compartido","Vehículo eléctrico")</f>
        <v>#NAME?</v>
      </c>
      <c r="J588" s="486">
        <v>0.25</v>
      </c>
      <c r="K588" s="1324" t="e">
        <f t="shared" ca="1" si="5"/>
        <v>#NAME?</v>
      </c>
      <c r="L588" s="1325">
        <f ca="1">+IFERROR(VLOOKUP(I588,'Factores Emisión EDGE'!$K$267:$L$272,2,0),0)</f>
        <v>0</v>
      </c>
      <c r="M588" s="1325" t="e">
        <f t="shared" ca="1" si="6"/>
        <v>#NAME?</v>
      </c>
      <c r="N588" s="486" t="s">
        <v>3043</v>
      </c>
      <c r="O588" s="1312"/>
      <c r="P588" s="1312"/>
    </row>
  </sheetData>
  <autoFilter ref="A1:N588" xr:uid="{00000000-0009-0000-0000-000015000000}"/>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AE272"/>
  <sheetViews>
    <sheetView workbookViewId="0">
      <selection activeCell="A53" sqref="A53"/>
    </sheetView>
  </sheetViews>
  <sheetFormatPr baseColWidth="10" defaultColWidth="12.6640625" defaultRowHeight="15" customHeight="1"/>
  <cols>
    <col min="1" max="1" width="8.6640625" customWidth="1"/>
    <col min="2" max="2" width="10" customWidth="1"/>
    <col min="3" max="3" width="18.44140625" customWidth="1"/>
    <col min="4" max="4" width="11.109375" customWidth="1"/>
    <col min="5" max="5" width="8.44140625" customWidth="1"/>
    <col min="6" max="6" width="10.33203125" customWidth="1"/>
    <col min="7" max="7" width="11.33203125" customWidth="1"/>
    <col min="8" max="8" width="86.109375" customWidth="1"/>
    <col min="9" max="9" width="40.44140625" customWidth="1"/>
    <col min="10" max="10" width="32.77734375" customWidth="1"/>
    <col min="11" max="11" width="48.44140625" customWidth="1"/>
    <col min="12" max="12" width="11.88671875" customWidth="1"/>
    <col min="13" max="13" width="20.6640625" customWidth="1"/>
    <col min="14" max="14" width="97.6640625" customWidth="1"/>
    <col min="15" max="15" width="207.6640625" customWidth="1"/>
    <col min="16" max="16" width="71.44140625" customWidth="1"/>
    <col min="17" max="17" width="8.77734375" customWidth="1"/>
    <col min="18" max="18" width="11.44140625" customWidth="1"/>
    <col min="19" max="19" width="124.109375" customWidth="1"/>
    <col min="20" max="21" width="8.77734375" customWidth="1"/>
    <col min="22" max="22" width="8.88671875" customWidth="1"/>
    <col min="23" max="23" width="41.88671875" customWidth="1"/>
    <col min="24" max="25" width="11.21875" customWidth="1"/>
    <col min="26" max="26" width="13.77734375" customWidth="1"/>
    <col min="27" max="27" width="11.21875" customWidth="1"/>
    <col min="28" max="29" width="8.6640625" customWidth="1"/>
    <col min="30" max="31" width="11.21875" customWidth="1"/>
  </cols>
  <sheetData>
    <row r="1" spans="2:27" ht="12" customHeight="1">
      <c r="B1" s="1332"/>
      <c r="C1" s="1332"/>
      <c r="D1" s="1332"/>
      <c r="E1" s="1332"/>
      <c r="F1" s="1332"/>
      <c r="G1" s="1332"/>
      <c r="H1" s="1332"/>
      <c r="I1" s="1332"/>
      <c r="J1" s="1332"/>
      <c r="K1" s="1332"/>
      <c r="L1" s="1332"/>
      <c r="M1" s="1332"/>
      <c r="N1" s="1332"/>
      <c r="O1" s="1332"/>
      <c r="P1" s="1332"/>
      <c r="Q1" s="1333">
        <v>1</v>
      </c>
      <c r="R1" s="1333" t="s">
        <v>3911</v>
      </c>
      <c r="S1" s="1332"/>
      <c r="T1" s="1332"/>
      <c r="U1" s="1332"/>
      <c r="V1" s="1332"/>
      <c r="W1" s="1332"/>
      <c r="X1" s="1332"/>
      <c r="Y1" s="1332"/>
      <c r="Z1" s="1332"/>
      <c r="AA1" s="1332"/>
    </row>
    <row r="2" spans="2:27" ht="12" customHeight="1">
      <c r="B2" s="1332"/>
      <c r="C2" s="1332"/>
      <c r="D2" s="1332"/>
      <c r="E2" s="1332"/>
      <c r="F2" s="1332"/>
      <c r="G2" s="1332"/>
      <c r="H2" s="1332"/>
      <c r="I2" s="1332"/>
      <c r="J2" s="1332"/>
      <c r="K2" s="1332"/>
      <c r="L2" s="1332"/>
      <c r="M2" s="1332"/>
      <c r="N2" s="1332"/>
      <c r="O2" s="1332"/>
      <c r="P2" s="1332"/>
      <c r="Q2" s="1333">
        <v>2</v>
      </c>
      <c r="R2" s="1333" t="s">
        <v>3912</v>
      </c>
      <c r="S2" s="1332"/>
      <c r="T2" s="1332"/>
      <c r="U2" s="1332"/>
      <c r="V2" s="1332"/>
      <c r="W2" s="1332"/>
      <c r="X2" s="1332"/>
      <c r="Y2" s="1332"/>
      <c r="Z2" s="1332"/>
      <c r="AA2" s="1332"/>
    </row>
    <row r="3" spans="2:27" ht="12" customHeight="1">
      <c r="B3" s="1332"/>
      <c r="C3" s="1332"/>
      <c r="D3" s="1332"/>
      <c r="E3" s="1332"/>
      <c r="F3" s="1332"/>
      <c r="G3" s="1332"/>
      <c r="H3" s="1332"/>
      <c r="I3" s="1332"/>
      <c r="J3" s="1332"/>
      <c r="K3" s="1332"/>
      <c r="L3" s="1332"/>
      <c r="M3" s="1332"/>
      <c r="N3" s="1332"/>
      <c r="O3" s="1332"/>
      <c r="P3" s="1332"/>
      <c r="Q3" s="1333">
        <v>3</v>
      </c>
      <c r="R3" s="1334" t="s">
        <v>3913</v>
      </c>
      <c r="S3" s="1332"/>
      <c r="T3" s="1332"/>
      <c r="U3" s="1332"/>
      <c r="V3" s="1332"/>
      <c r="W3" s="1332"/>
      <c r="X3" s="1332"/>
      <c r="Y3" s="1332"/>
      <c r="Z3" s="1332"/>
      <c r="AA3" s="1332"/>
    </row>
    <row r="4" spans="2:27" ht="12" customHeight="1">
      <c r="B4" s="1332"/>
      <c r="C4" s="1584" t="s">
        <v>3914</v>
      </c>
      <c r="D4" s="1463"/>
      <c r="E4" s="1463"/>
      <c r="F4" s="1463"/>
      <c r="G4" s="1463"/>
      <c r="H4" s="1464"/>
      <c r="I4" s="1332"/>
      <c r="J4" s="1332"/>
      <c r="K4" s="1584" t="s">
        <v>3915</v>
      </c>
      <c r="L4" s="1463"/>
      <c r="M4" s="1463"/>
      <c r="N4" s="1464"/>
      <c r="O4" s="1332"/>
      <c r="P4" s="1585" t="s">
        <v>3916</v>
      </c>
      <c r="Q4" s="1463"/>
      <c r="R4" s="1463"/>
      <c r="S4" s="1464"/>
      <c r="T4" s="1332"/>
      <c r="U4" s="1332"/>
      <c r="V4" s="1332"/>
      <c r="W4" s="1585" t="s">
        <v>3917</v>
      </c>
      <c r="X4" s="1463"/>
      <c r="Y4" s="1464"/>
      <c r="Z4" s="1332"/>
      <c r="AA4" s="1332"/>
    </row>
    <row r="5" spans="2:27" ht="12" customHeight="1">
      <c r="B5" s="1335"/>
      <c r="C5" s="1332"/>
      <c r="D5" s="1332"/>
      <c r="E5" s="1332"/>
      <c r="F5" s="1332"/>
      <c r="G5" s="1332"/>
      <c r="H5" s="1332"/>
      <c r="I5" s="1332"/>
      <c r="J5" s="1332"/>
      <c r="K5" s="1332"/>
      <c r="L5" s="1332"/>
      <c r="M5" s="1332"/>
      <c r="N5" s="1332"/>
      <c r="O5" s="1332"/>
      <c r="P5" s="1332"/>
      <c r="Q5" s="1332"/>
      <c r="R5" s="1332"/>
      <c r="S5" s="1332"/>
      <c r="T5" s="1332"/>
      <c r="U5" s="1332"/>
      <c r="V5" s="1332"/>
      <c r="W5" s="1332"/>
      <c r="X5" s="1332"/>
      <c r="Y5" s="1332"/>
      <c r="Z5" s="1332"/>
      <c r="AA5" s="1332"/>
    </row>
    <row r="6" spans="2:27" ht="12" customHeight="1">
      <c r="B6" s="1337"/>
      <c r="C6" s="1338" t="s">
        <v>3044</v>
      </c>
      <c r="D6" s="1339" t="s">
        <v>3918</v>
      </c>
      <c r="E6" s="1339" t="s">
        <v>3919</v>
      </c>
      <c r="F6" s="1339" t="s">
        <v>3920</v>
      </c>
      <c r="G6" s="1339" t="s">
        <v>114</v>
      </c>
      <c r="H6" s="1340" t="s">
        <v>1150</v>
      </c>
      <c r="I6" s="1332"/>
      <c r="J6" s="1332"/>
      <c r="K6" s="1341" t="s">
        <v>3044</v>
      </c>
      <c r="L6" s="1339" t="s">
        <v>3918</v>
      </c>
      <c r="M6" s="1339" t="s">
        <v>114</v>
      </c>
      <c r="N6" s="1340" t="s">
        <v>1150</v>
      </c>
      <c r="O6" s="1332"/>
      <c r="P6" s="1341" t="s">
        <v>3921</v>
      </c>
      <c r="Q6" s="1339" t="s">
        <v>114</v>
      </c>
      <c r="R6" s="1339" t="s">
        <v>3922</v>
      </c>
      <c r="S6" s="1339" t="s">
        <v>1150</v>
      </c>
      <c r="T6" s="1332"/>
      <c r="U6" s="1332"/>
      <c r="V6" s="1332"/>
      <c r="W6" s="1341" t="s">
        <v>1923</v>
      </c>
      <c r="X6" s="1341" t="s">
        <v>114</v>
      </c>
      <c r="Y6" s="1341" t="s">
        <v>3923</v>
      </c>
      <c r="Z6" s="1332"/>
      <c r="AA6" s="1332"/>
    </row>
    <row r="7" spans="2:27" ht="14.25" customHeight="1">
      <c r="B7" s="1590" t="s">
        <v>3924</v>
      </c>
      <c r="C7" s="1342" t="s">
        <v>3925</v>
      </c>
      <c r="D7" s="1343">
        <v>69300</v>
      </c>
      <c r="E7" s="1343">
        <v>67500</v>
      </c>
      <c r="F7" s="1343">
        <v>73000</v>
      </c>
      <c r="G7" s="1343" t="s">
        <v>3926</v>
      </c>
      <c r="H7" s="1343" t="s">
        <v>125</v>
      </c>
      <c r="I7" s="1332"/>
      <c r="J7" s="1586" t="s">
        <v>3927</v>
      </c>
      <c r="K7" s="29" t="s">
        <v>443</v>
      </c>
      <c r="L7" s="29">
        <f>2306.197/1000</f>
        <v>2.3061970000000001</v>
      </c>
      <c r="M7" s="29" t="s">
        <v>126</v>
      </c>
      <c r="N7" s="29" t="s">
        <v>125</v>
      </c>
      <c r="O7" s="1332"/>
      <c r="P7" s="1344" t="s">
        <v>3928</v>
      </c>
      <c r="Q7" s="1344" t="s">
        <v>3929</v>
      </c>
      <c r="R7" s="1345">
        <v>53.6</v>
      </c>
      <c r="S7" s="1344">
        <v>2</v>
      </c>
      <c r="T7" s="1332"/>
      <c r="U7" s="1332"/>
      <c r="V7" s="1332"/>
      <c r="W7" s="1344" t="s">
        <v>3930</v>
      </c>
      <c r="X7" s="1344" t="s">
        <v>1521</v>
      </c>
      <c r="Y7" s="1344">
        <v>1</v>
      </c>
      <c r="Z7" s="1332"/>
      <c r="AA7" s="1332"/>
    </row>
    <row r="8" spans="2:27" ht="12" customHeight="1">
      <c r="B8" s="1551"/>
      <c r="C8" s="1342" t="s">
        <v>3931</v>
      </c>
      <c r="D8" s="1343">
        <v>74100</v>
      </c>
      <c r="E8" s="1343">
        <v>72600</v>
      </c>
      <c r="F8" s="1343">
        <v>74800</v>
      </c>
      <c r="G8" s="1343" t="s">
        <v>3926</v>
      </c>
      <c r="H8" s="1343" t="s">
        <v>125</v>
      </c>
      <c r="I8" s="1332"/>
      <c r="J8" s="1387"/>
      <c r="K8" s="457" t="s">
        <v>565</v>
      </c>
      <c r="L8" s="29">
        <f>2740.161/1000</f>
        <v>2.7401610000000001</v>
      </c>
      <c r="M8" s="29" t="s">
        <v>126</v>
      </c>
      <c r="N8" s="29" t="s">
        <v>125</v>
      </c>
      <c r="O8" s="1332"/>
      <c r="P8" s="1344" t="s">
        <v>3932</v>
      </c>
      <c r="Q8" s="1344" t="s">
        <v>3929</v>
      </c>
      <c r="R8" s="1345">
        <v>49.6</v>
      </c>
      <c r="S8" s="1344">
        <v>2</v>
      </c>
      <c r="T8" s="1332"/>
      <c r="U8" s="1332"/>
      <c r="V8" s="1332"/>
      <c r="W8" s="1344" t="s">
        <v>3933</v>
      </c>
      <c r="X8" s="1344" t="s">
        <v>1521</v>
      </c>
      <c r="Y8" s="1344">
        <v>25</v>
      </c>
      <c r="Z8" s="1332"/>
      <c r="AA8" s="1332"/>
    </row>
    <row r="9" spans="2:27" ht="12" customHeight="1">
      <c r="B9" s="1551"/>
      <c r="C9" s="1342" t="s">
        <v>3934</v>
      </c>
      <c r="D9" s="1343">
        <v>63100</v>
      </c>
      <c r="E9" s="1343">
        <v>61600</v>
      </c>
      <c r="F9" s="1343">
        <v>65600</v>
      </c>
      <c r="G9" s="1343" t="s">
        <v>3926</v>
      </c>
      <c r="H9" s="1343" t="s">
        <v>125</v>
      </c>
      <c r="I9" s="1332"/>
      <c r="J9" s="1387"/>
      <c r="K9" s="457" t="s">
        <v>439</v>
      </c>
      <c r="L9" s="1332">
        <f>+L8</f>
        <v>2.7401610000000001</v>
      </c>
      <c r="M9" s="29" t="s">
        <v>126</v>
      </c>
      <c r="N9" s="29" t="s">
        <v>125</v>
      </c>
      <c r="O9" s="1332"/>
      <c r="P9" s="1344" t="s">
        <v>3935</v>
      </c>
      <c r="Q9" s="1344" t="s">
        <v>3929</v>
      </c>
      <c r="R9" s="1345">
        <v>49.1</v>
      </c>
      <c r="S9" s="1344">
        <v>2</v>
      </c>
      <c r="T9" s="1332"/>
      <c r="U9" s="1332"/>
      <c r="V9" s="1332"/>
      <c r="W9" s="1344" t="s">
        <v>3936</v>
      </c>
      <c r="X9" s="1344" t="s">
        <v>1521</v>
      </c>
      <c r="Y9" s="1344">
        <v>298</v>
      </c>
      <c r="Z9" s="1332"/>
      <c r="AA9" s="1332"/>
    </row>
    <row r="10" spans="2:27" ht="12" customHeight="1">
      <c r="B10" s="1551"/>
      <c r="C10" s="1342" t="s">
        <v>3937</v>
      </c>
      <c r="D10" s="1343">
        <v>71900</v>
      </c>
      <c r="E10" s="1343">
        <v>70800</v>
      </c>
      <c r="F10" s="1343">
        <v>73700</v>
      </c>
      <c r="G10" s="1343" t="s">
        <v>3926</v>
      </c>
      <c r="H10" s="1343" t="s">
        <v>125</v>
      </c>
      <c r="I10" s="1332"/>
      <c r="J10" s="1387"/>
      <c r="K10" s="29" t="s">
        <v>3934</v>
      </c>
      <c r="L10" s="29">
        <f>+(D9+D19*Y8+D25*Y9)/$Z$17*AVERAGE($R$21,$R$22)</f>
        <v>1.7212753599999999</v>
      </c>
      <c r="M10" s="29" t="s">
        <v>126</v>
      </c>
      <c r="N10" s="29" t="s">
        <v>125</v>
      </c>
      <c r="O10" s="1332"/>
      <c r="P10" s="1344" t="s">
        <v>3938</v>
      </c>
      <c r="Q10" s="1344" t="s">
        <v>3929</v>
      </c>
      <c r="R10" s="1345">
        <v>46.4</v>
      </c>
      <c r="S10" s="1344">
        <v>2</v>
      </c>
      <c r="T10" s="1332"/>
      <c r="U10" s="1332"/>
      <c r="V10" s="1332"/>
      <c r="W10" s="1332"/>
      <c r="X10" s="1332"/>
      <c r="Y10" s="1332"/>
      <c r="Z10" s="1332"/>
      <c r="AA10" s="1332"/>
    </row>
    <row r="11" spans="2:27" ht="12" customHeight="1">
      <c r="B11" s="1551"/>
      <c r="C11" s="1342" t="s">
        <v>3939</v>
      </c>
      <c r="D11" s="1343">
        <v>73300</v>
      </c>
      <c r="E11" s="1343">
        <v>71900</v>
      </c>
      <c r="F11" s="1343">
        <v>75200</v>
      </c>
      <c r="G11" s="1343" t="s">
        <v>3926</v>
      </c>
      <c r="H11" s="1343" t="s">
        <v>125</v>
      </c>
      <c r="I11" s="1332"/>
      <c r="J11" s="1387"/>
      <c r="K11" s="29" t="s">
        <v>3940</v>
      </c>
      <c r="L11" s="29">
        <f>+D10/$Z$17*$R$25</f>
        <v>2.3727</v>
      </c>
      <c r="M11" s="29" t="s">
        <v>126</v>
      </c>
      <c r="N11" s="29" t="s">
        <v>125</v>
      </c>
      <c r="O11" s="1332"/>
      <c r="P11" s="1344" t="s">
        <v>3941</v>
      </c>
      <c r="Q11" s="1344" t="s">
        <v>3929</v>
      </c>
      <c r="R11" s="1345">
        <v>46.2</v>
      </c>
      <c r="S11" s="1344">
        <v>2</v>
      </c>
      <c r="T11" s="1332"/>
      <c r="U11" s="1332"/>
      <c r="V11" s="1332"/>
      <c r="W11" s="1332"/>
      <c r="X11" s="1332"/>
      <c r="Y11" s="1332"/>
      <c r="Z11" s="1332"/>
      <c r="AA11" s="1332"/>
    </row>
    <row r="12" spans="2:27" ht="12" customHeight="1">
      <c r="B12" s="1551"/>
      <c r="C12" s="1342" t="s">
        <v>3942</v>
      </c>
      <c r="D12" s="1343">
        <v>56100</v>
      </c>
      <c r="E12" s="1343">
        <v>54300</v>
      </c>
      <c r="F12" s="1343">
        <v>58300</v>
      </c>
      <c r="G12" s="1343" t="s">
        <v>3926</v>
      </c>
      <c r="H12" s="1343" t="s">
        <v>125</v>
      </c>
      <c r="I12" s="1332"/>
      <c r="J12" s="1387"/>
      <c r="K12" s="29" t="s">
        <v>3939</v>
      </c>
      <c r="L12" s="29">
        <f>+D11/((1000000/$R$36)*1000/$R$35)</f>
        <v>1.878679</v>
      </c>
      <c r="M12" s="29" t="s">
        <v>126</v>
      </c>
      <c r="N12" s="29" t="s">
        <v>125</v>
      </c>
      <c r="O12" s="1332"/>
      <c r="P12" s="1344" t="s">
        <v>3940</v>
      </c>
      <c r="Q12" s="1344" t="s">
        <v>3929</v>
      </c>
      <c r="R12" s="1345">
        <v>42.8</v>
      </c>
      <c r="S12" s="1344">
        <v>2</v>
      </c>
      <c r="T12" s="1332"/>
      <c r="U12" s="1332"/>
      <c r="V12" s="1332"/>
      <c r="W12" s="1332"/>
      <c r="X12" s="1332"/>
      <c r="Y12" s="1332"/>
      <c r="Z12" s="1332"/>
      <c r="AA12" s="1332"/>
    </row>
    <row r="13" spans="2:27" ht="12" customHeight="1">
      <c r="B13" s="1551"/>
      <c r="C13" s="1342" t="s">
        <v>3943</v>
      </c>
      <c r="D13" s="1343">
        <v>56100</v>
      </c>
      <c r="E13" s="1343">
        <v>54300</v>
      </c>
      <c r="F13" s="1343">
        <v>58300</v>
      </c>
      <c r="G13" s="1343" t="s">
        <v>3926</v>
      </c>
      <c r="H13" s="1343" t="s">
        <v>125</v>
      </c>
      <c r="I13" s="1332"/>
      <c r="J13" s="1388"/>
      <c r="K13" s="1346" t="s">
        <v>448</v>
      </c>
      <c r="L13" s="1346">
        <v>2.0940000000000004E-3</v>
      </c>
      <c r="M13" s="1346" t="s">
        <v>126</v>
      </c>
      <c r="N13" s="1346" t="s">
        <v>125</v>
      </c>
      <c r="O13" s="1332"/>
      <c r="P13" s="1344" t="s">
        <v>3944</v>
      </c>
      <c r="Q13" s="1344" t="s">
        <v>3929</v>
      </c>
      <c r="R13" s="1345">
        <v>42.2</v>
      </c>
      <c r="S13" s="1344">
        <v>2</v>
      </c>
      <c r="T13" s="1332"/>
      <c r="U13" s="1332"/>
      <c r="V13" s="1332"/>
      <c r="W13" s="1332"/>
      <c r="X13" s="1332"/>
      <c r="Y13" s="1332"/>
      <c r="Z13" s="1332"/>
      <c r="AA13" s="1332"/>
    </row>
    <row r="14" spans="2:27" ht="12" customHeight="1">
      <c r="B14" s="1551"/>
      <c r="C14" s="1342" t="s">
        <v>3945</v>
      </c>
      <c r="D14" s="1343">
        <v>33</v>
      </c>
      <c r="E14" s="1343">
        <v>9.6</v>
      </c>
      <c r="F14" s="1343">
        <v>110</v>
      </c>
      <c r="G14" s="1343" t="s">
        <v>3946</v>
      </c>
      <c r="H14" s="1343" t="s">
        <v>125</v>
      </c>
      <c r="I14" s="1332"/>
      <c r="J14" s="1586" t="s">
        <v>3947</v>
      </c>
      <c r="K14" s="29" t="s">
        <v>443</v>
      </c>
      <c r="L14" s="29">
        <f>+(D29+D41*$Y$8+D53*$Y$9)/$Z$17*$R$23</f>
        <v>2.3847249600000007</v>
      </c>
      <c r="M14" s="29" t="s">
        <v>126</v>
      </c>
      <c r="N14" s="29" t="s">
        <v>125</v>
      </c>
      <c r="O14" s="1332"/>
      <c r="P14" s="1344" t="s">
        <v>3948</v>
      </c>
      <c r="Q14" s="1344" t="s">
        <v>3929</v>
      </c>
      <c r="R14" s="1345">
        <v>46.3</v>
      </c>
      <c r="S14" s="1344">
        <v>2</v>
      </c>
      <c r="T14" s="1332"/>
      <c r="U14" s="1332"/>
      <c r="V14" s="1335"/>
      <c r="W14" s="1335"/>
      <c r="X14" s="1335"/>
      <c r="Y14" s="1335"/>
      <c r="Z14" s="1335"/>
      <c r="AA14" s="1335"/>
    </row>
    <row r="15" spans="2:27" ht="12" customHeight="1">
      <c r="B15" s="1551"/>
      <c r="C15" s="1342" t="s">
        <v>3949</v>
      </c>
      <c r="D15" s="1343">
        <v>25</v>
      </c>
      <c r="E15" s="1343">
        <v>7.5</v>
      </c>
      <c r="F15" s="1343">
        <v>86</v>
      </c>
      <c r="G15" s="1343" t="s">
        <v>3946</v>
      </c>
      <c r="H15" s="1343" t="s">
        <v>125</v>
      </c>
      <c r="I15" s="1332"/>
      <c r="J15" s="1387"/>
      <c r="K15" s="29" t="s">
        <v>453</v>
      </c>
      <c r="L15" s="29">
        <f>2707.395/1000</f>
        <v>2.707395</v>
      </c>
      <c r="M15" s="29" t="s">
        <v>126</v>
      </c>
      <c r="N15" s="29" t="s">
        <v>125</v>
      </c>
      <c r="O15" s="1332"/>
      <c r="P15" s="1344" t="s">
        <v>3950</v>
      </c>
      <c r="Q15" s="1344" t="s">
        <v>3929</v>
      </c>
      <c r="R15" s="1345">
        <v>32.5</v>
      </c>
      <c r="S15" s="1344">
        <v>2</v>
      </c>
      <c r="T15" s="1332"/>
      <c r="U15" s="1336"/>
      <c r="V15" s="1347" t="s">
        <v>3951</v>
      </c>
      <c r="W15" s="1347" t="s">
        <v>3952</v>
      </c>
      <c r="X15" s="1347" t="s">
        <v>3953</v>
      </c>
      <c r="Y15" s="1347" t="s">
        <v>3954</v>
      </c>
      <c r="Z15" s="1347" t="s">
        <v>3953</v>
      </c>
      <c r="AA15" s="1347" t="s">
        <v>3954</v>
      </c>
    </row>
    <row r="16" spans="2:27" ht="12" customHeight="1">
      <c r="B16" s="1551"/>
      <c r="C16" s="1342" t="s">
        <v>3955</v>
      </c>
      <c r="D16" s="1343">
        <v>3.8</v>
      </c>
      <c r="E16" s="1343">
        <v>1.1000000000000001</v>
      </c>
      <c r="F16" s="1343">
        <v>13</v>
      </c>
      <c r="G16" s="1343" t="s">
        <v>3946</v>
      </c>
      <c r="H16" s="1343" t="s">
        <v>125</v>
      </c>
      <c r="I16" s="1332"/>
      <c r="J16" s="1387"/>
      <c r="K16" s="29" t="s">
        <v>448</v>
      </c>
      <c r="L16" s="29">
        <f>+(D28+D40*Y8+D52*Y9)/$Z$17*$R$20</f>
        <v>2.3524883200000003E-3</v>
      </c>
      <c r="M16" s="29" t="s">
        <v>126</v>
      </c>
      <c r="N16" s="29" t="s">
        <v>125</v>
      </c>
      <c r="O16" s="1332"/>
      <c r="P16" s="1344" t="s">
        <v>3956</v>
      </c>
      <c r="Q16" s="1344" t="s">
        <v>3929</v>
      </c>
      <c r="R16" s="1345">
        <v>30</v>
      </c>
      <c r="S16" s="1344">
        <v>2</v>
      </c>
      <c r="T16" s="1332"/>
      <c r="U16" s="1336"/>
      <c r="V16" s="1347">
        <v>69300</v>
      </c>
      <c r="W16" s="1347">
        <v>1</v>
      </c>
      <c r="X16" s="1347">
        <v>1000000</v>
      </c>
      <c r="Y16" s="1347">
        <f>+AA17</f>
        <v>29239.766081871341</v>
      </c>
      <c r="Z16" s="1347">
        <v>34.200000000000003</v>
      </c>
      <c r="AA16" s="1347">
        <v>1</v>
      </c>
    </row>
    <row r="17" spans="2:31" ht="12" customHeight="1">
      <c r="B17" s="1551"/>
      <c r="C17" s="1342" t="s">
        <v>3957</v>
      </c>
      <c r="D17" s="1343">
        <v>3.9</v>
      </c>
      <c r="E17" s="1343">
        <v>1.6</v>
      </c>
      <c r="F17" s="1343">
        <v>9.5</v>
      </c>
      <c r="G17" s="1343" t="s">
        <v>3946</v>
      </c>
      <c r="H17" s="1343" t="s">
        <v>125</v>
      </c>
      <c r="I17" s="1332"/>
      <c r="J17" s="1387"/>
      <c r="K17" s="29" t="s">
        <v>3934</v>
      </c>
      <c r="L17" s="29">
        <f>+(D37+D49*Y8+D61*Y9)/$Z$17*AVERAGE($R$21,$R$22)</f>
        <v>1.6825776800000001</v>
      </c>
      <c r="M17" s="29" t="s">
        <v>126</v>
      </c>
      <c r="N17" s="29" t="s">
        <v>125</v>
      </c>
      <c r="O17" s="1332"/>
      <c r="P17" s="1344" t="s">
        <v>3958</v>
      </c>
      <c r="Q17" s="1344" t="s">
        <v>3929</v>
      </c>
      <c r="R17" s="1345">
        <v>24</v>
      </c>
      <c r="S17" s="1344">
        <v>2</v>
      </c>
      <c r="T17" s="1332"/>
      <c r="U17" s="1336"/>
      <c r="V17" s="1347"/>
      <c r="W17" s="1347"/>
      <c r="X17" s="1347"/>
      <c r="Y17" s="1347"/>
      <c r="Z17" s="1347">
        <f>+X16</f>
        <v>1000000</v>
      </c>
      <c r="AA17" s="1347">
        <f>+Z17*AA16/Z16</f>
        <v>29239.766081871341</v>
      </c>
      <c r="AB17" s="1347"/>
      <c r="AC17" s="1347"/>
      <c r="AD17" s="1347"/>
      <c r="AE17" s="1347"/>
    </row>
    <row r="18" spans="2:31" ht="12" customHeight="1">
      <c r="B18" s="1551"/>
      <c r="C18" s="1342" t="s">
        <v>448</v>
      </c>
      <c r="D18" s="1343">
        <v>92</v>
      </c>
      <c r="E18" s="1343">
        <v>50</v>
      </c>
      <c r="F18" s="1343">
        <v>1540</v>
      </c>
      <c r="G18" s="1343" t="s">
        <v>3946</v>
      </c>
      <c r="H18" s="1343" t="s">
        <v>125</v>
      </c>
      <c r="I18" s="1332"/>
      <c r="J18" s="1387"/>
      <c r="K18" s="29" t="s">
        <v>3939</v>
      </c>
      <c r="L18" s="29">
        <f>+(D27+D39*Y8+D51*Y9)/((1000000/$R$36)*1000/$R$35)</f>
        <v>1.9845001440000001</v>
      </c>
      <c r="M18" s="29" t="s">
        <v>126</v>
      </c>
      <c r="N18" s="29" t="s">
        <v>125</v>
      </c>
      <c r="O18" s="1332"/>
      <c r="P18" s="1344" t="s">
        <v>3959</v>
      </c>
      <c r="Q18" s="1344" t="s">
        <v>3929</v>
      </c>
      <c r="R18" s="1345">
        <v>14</v>
      </c>
      <c r="S18" s="1344">
        <v>2</v>
      </c>
      <c r="T18" s="1332"/>
      <c r="U18" s="1336"/>
      <c r="V18" s="1347"/>
      <c r="W18" s="1347"/>
      <c r="X18" s="1347"/>
      <c r="Y18" s="1347"/>
      <c r="Z18" s="1347"/>
      <c r="AA18" s="1347"/>
      <c r="AB18" s="1347"/>
      <c r="AC18" s="1347"/>
      <c r="AD18" s="1347"/>
      <c r="AE18" s="1347"/>
    </row>
    <row r="19" spans="2:31" ht="12" customHeight="1">
      <c r="B19" s="1551"/>
      <c r="C19" s="1342" t="s">
        <v>3960</v>
      </c>
      <c r="D19" s="1343">
        <v>62</v>
      </c>
      <c r="E19" s="1343"/>
      <c r="F19" s="1343"/>
      <c r="G19" s="1343" t="s">
        <v>3946</v>
      </c>
      <c r="H19" s="1343" t="s">
        <v>125</v>
      </c>
      <c r="I19" s="1332"/>
      <c r="J19" s="1388"/>
      <c r="K19" s="29" t="s">
        <v>3940</v>
      </c>
      <c r="L19" s="29">
        <f>+(D32+D44*Y8+D56*Y9)/$Z$17*$R$25</f>
        <v>2.3736503999999998</v>
      </c>
      <c r="M19" s="29" t="s">
        <v>126</v>
      </c>
      <c r="N19" s="29" t="s">
        <v>125</v>
      </c>
      <c r="O19" s="1332"/>
      <c r="P19" s="1344" t="s">
        <v>3961</v>
      </c>
      <c r="Q19" s="1344" t="s">
        <v>3929</v>
      </c>
      <c r="R19" s="1345">
        <v>18</v>
      </c>
      <c r="S19" s="1344">
        <v>2</v>
      </c>
      <c r="T19" s="1332"/>
      <c r="U19" s="1336"/>
      <c r="V19" s="1347"/>
      <c r="W19" s="1347"/>
      <c r="X19" s="1347"/>
      <c r="Y19" s="1347"/>
      <c r="Z19" s="1347"/>
      <c r="AA19" s="1347"/>
      <c r="AB19" s="1347"/>
      <c r="AC19" s="1347"/>
      <c r="AD19" s="1347"/>
      <c r="AE19" s="1347"/>
    </row>
    <row r="20" spans="2:31" ht="12" customHeight="1">
      <c r="B20" s="1551"/>
      <c r="C20" s="1342" t="s">
        <v>3945</v>
      </c>
      <c r="D20" s="1343">
        <v>3.2</v>
      </c>
      <c r="E20" s="1343">
        <v>0.96</v>
      </c>
      <c r="F20" s="1343">
        <v>11</v>
      </c>
      <c r="G20" s="1343" t="s">
        <v>3962</v>
      </c>
      <c r="H20" s="1343" t="s">
        <v>125</v>
      </c>
      <c r="I20" s="1332"/>
      <c r="J20" s="1588" t="s">
        <v>1794</v>
      </c>
      <c r="K20" s="64" t="s">
        <v>3963</v>
      </c>
      <c r="L20" s="29"/>
      <c r="M20" s="29"/>
      <c r="N20" s="29"/>
      <c r="O20" s="1332"/>
      <c r="P20" s="1344" t="s">
        <v>3928</v>
      </c>
      <c r="Q20" s="1344" t="s">
        <v>3964</v>
      </c>
      <c r="R20" s="1348">
        <v>3.6400000000000002E-2</v>
      </c>
      <c r="S20" s="1344">
        <v>2</v>
      </c>
      <c r="T20" s="1332"/>
      <c r="U20" s="1336"/>
      <c r="V20" s="1347" t="s">
        <v>3951</v>
      </c>
      <c r="W20" s="1347" t="s">
        <v>3952</v>
      </c>
      <c r="X20" s="1347" t="s">
        <v>3965</v>
      </c>
      <c r="Y20" s="1347" t="s">
        <v>3952</v>
      </c>
      <c r="Z20" s="1347" t="s">
        <v>3965</v>
      </c>
      <c r="AA20" s="1347"/>
      <c r="AB20" s="1347"/>
      <c r="AC20" s="1347"/>
      <c r="AD20" s="1347" t="s">
        <v>1521</v>
      </c>
      <c r="AE20" s="1347" t="s">
        <v>449</v>
      </c>
    </row>
    <row r="21" spans="2:31" ht="12" customHeight="1">
      <c r="B21" s="1551"/>
      <c r="C21" s="1342" t="s">
        <v>3949</v>
      </c>
      <c r="D21" s="1343">
        <v>8</v>
      </c>
      <c r="E21" s="1343">
        <v>2.6</v>
      </c>
      <c r="F21" s="1343">
        <v>24</v>
      </c>
      <c r="G21" s="1343" t="s">
        <v>3962</v>
      </c>
      <c r="H21" s="1343" t="s">
        <v>125</v>
      </c>
      <c r="I21" s="1332"/>
      <c r="J21" s="1387"/>
      <c r="K21" s="64" t="s">
        <v>3966</v>
      </c>
      <c r="L21" s="29"/>
      <c r="M21" s="29"/>
      <c r="N21" s="29"/>
      <c r="O21" s="1332"/>
      <c r="P21" s="1344" t="s">
        <v>3932</v>
      </c>
      <c r="Q21" s="1344" t="s">
        <v>3964</v>
      </c>
      <c r="R21" s="1345">
        <v>25.5</v>
      </c>
      <c r="S21" s="1344">
        <v>2</v>
      </c>
      <c r="T21" s="1332"/>
      <c r="U21" s="1336"/>
      <c r="V21" s="1347">
        <v>73300</v>
      </c>
      <c r="W21" s="1347">
        <v>1</v>
      </c>
      <c r="X21" s="1347">
        <f>+Z22</f>
        <v>39016.777214202106</v>
      </c>
      <c r="Y21" s="1347">
        <f>+V24</f>
        <v>27.5</v>
      </c>
      <c r="Z21" s="1347">
        <f>+Z24</f>
        <v>1072961.3733905579</v>
      </c>
      <c r="AA21" s="1347" t="s">
        <v>3967</v>
      </c>
      <c r="AB21" s="1347"/>
      <c r="AC21" s="1347"/>
      <c r="AD21" s="1347">
        <v>932</v>
      </c>
      <c r="AE21" s="1347">
        <v>1</v>
      </c>
    </row>
    <row r="22" spans="2:31" ht="12" customHeight="1">
      <c r="B22" s="1551"/>
      <c r="C22" s="1342" t="s">
        <v>3955</v>
      </c>
      <c r="D22" s="1343">
        <v>5.7</v>
      </c>
      <c r="E22" s="1343">
        <v>1.9</v>
      </c>
      <c r="F22" s="1343">
        <v>17</v>
      </c>
      <c r="G22" s="1343" t="s">
        <v>3962</v>
      </c>
      <c r="H22" s="1343" t="s">
        <v>125</v>
      </c>
      <c r="I22" s="1332"/>
      <c r="J22" s="1387"/>
      <c r="K22" s="64" t="s">
        <v>3968</v>
      </c>
      <c r="L22" s="29">
        <v>1</v>
      </c>
      <c r="M22" s="29" t="s">
        <v>139</v>
      </c>
      <c r="N22" s="29" t="s">
        <v>1819</v>
      </c>
      <c r="O22" s="1332"/>
      <c r="P22" s="1344" t="s">
        <v>3935</v>
      </c>
      <c r="Q22" s="1344" t="s">
        <v>3964</v>
      </c>
      <c r="R22" s="1345">
        <v>27.7</v>
      </c>
      <c r="S22" s="1344">
        <v>2</v>
      </c>
      <c r="T22" s="1332"/>
      <c r="U22" s="1336"/>
      <c r="V22" s="1347"/>
      <c r="W22" s="1347"/>
      <c r="X22" s="1347"/>
      <c r="Y22" s="1347">
        <v>1</v>
      </c>
      <c r="Z22" s="1347">
        <f>+Y22*Z21/Y21</f>
        <v>39016.777214202106</v>
      </c>
      <c r="AA22" s="1347"/>
      <c r="AB22" s="1347"/>
      <c r="AC22" s="1347"/>
      <c r="AD22" s="1347">
        <f>+X24</f>
        <v>1000000</v>
      </c>
      <c r="AE22" s="1347">
        <f>+AD22*AE21/AD21</f>
        <v>1072.961373390558</v>
      </c>
    </row>
    <row r="23" spans="2:31" ht="12" customHeight="1">
      <c r="B23" s="1551"/>
      <c r="C23" s="1342" t="s">
        <v>3957</v>
      </c>
      <c r="D23" s="1343">
        <v>3.9</v>
      </c>
      <c r="E23" s="1343">
        <v>1.3</v>
      </c>
      <c r="F23" s="1343">
        <v>12</v>
      </c>
      <c r="G23" s="1343" t="s">
        <v>3962</v>
      </c>
      <c r="H23" s="1343" t="s">
        <v>125</v>
      </c>
      <c r="I23" s="1332"/>
      <c r="J23" s="1387"/>
      <c r="K23" s="64" t="s">
        <v>3969</v>
      </c>
      <c r="L23" s="29">
        <v>25</v>
      </c>
      <c r="M23" s="29" t="s">
        <v>139</v>
      </c>
      <c r="N23" s="29" t="s">
        <v>1819</v>
      </c>
      <c r="O23" s="1332"/>
      <c r="P23" s="1344" t="s">
        <v>3938</v>
      </c>
      <c r="Q23" s="1344" t="s">
        <v>3964</v>
      </c>
      <c r="R23" s="1345">
        <v>34.200000000000003</v>
      </c>
      <c r="S23" s="1344">
        <v>2</v>
      </c>
      <c r="T23" s="1332"/>
      <c r="U23" s="1336"/>
      <c r="V23" s="1347" t="s">
        <v>3952</v>
      </c>
      <c r="W23" s="1347" t="s">
        <v>3970</v>
      </c>
      <c r="X23" s="1347" t="s">
        <v>1521</v>
      </c>
      <c r="Y23" s="1347" t="s">
        <v>449</v>
      </c>
      <c r="Z23" s="1347" t="s">
        <v>3965</v>
      </c>
      <c r="AA23" s="1347"/>
      <c r="AB23" s="1347"/>
      <c r="AC23" s="1347"/>
      <c r="AD23" s="1347"/>
      <c r="AE23" s="1347"/>
    </row>
    <row r="24" spans="2:31" ht="12" customHeight="1">
      <c r="B24" s="1551"/>
      <c r="C24" s="1342" t="s">
        <v>448</v>
      </c>
      <c r="D24" s="1343">
        <v>3</v>
      </c>
      <c r="E24" s="1343">
        <v>1</v>
      </c>
      <c r="F24" s="1343">
        <v>77</v>
      </c>
      <c r="G24" s="1343" t="s">
        <v>3962</v>
      </c>
      <c r="H24" s="1343" t="s">
        <v>125</v>
      </c>
      <c r="I24" s="1332"/>
      <c r="J24" s="1387"/>
      <c r="K24" s="64" t="s">
        <v>3971</v>
      </c>
      <c r="L24" s="29">
        <v>298</v>
      </c>
      <c r="M24" s="29" t="s">
        <v>139</v>
      </c>
      <c r="N24" s="29" t="s">
        <v>1819</v>
      </c>
      <c r="O24" s="1332"/>
      <c r="P24" s="1344" t="s">
        <v>3941</v>
      </c>
      <c r="Q24" s="1344" t="s">
        <v>3964</v>
      </c>
      <c r="R24" s="1345">
        <v>37.299999999999997</v>
      </c>
      <c r="S24" s="1344">
        <v>2</v>
      </c>
      <c r="T24" s="1332"/>
      <c r="U24" s="1336"/>
      <c r="V24" s="1347">
        <v>27.5</v>
      </c>
      <c r="W24" s="1347">
        <v>1</v>
      </c>
      <c r="X24" s="1347">
        <v>1000000</v>
      </c>
      <c r="Y24" s="1347">
        <f>+AE22</f>
        <v>1072.961373390558</v>
      </c>
      <c r="Z24" s="1347">
        <f>+Y24*1000</f>
        <v>1072961.3733905579</v>
      </c>
      <c r="AA24" s="1347"/>
      <c r="AB24" s="1347"/>
      <c r="AC24" s="1347"/>
      <c r="AD24" s="1347"/>
      <c r="AE24" s="1347"/>
    </row>
    <row r="25" spans="2:31" ht="12" customHeight="1">
      <c r="B25" s="1390"/>
      <c r="C25" s="1342" t="s">
        <v>3960</v>
      </c>
      <c r="D25" s="1343">
        <v>0.2</v>
      </c>
      <c r="E25" s="1343"/>
      <c r="F25" s="1343"/>
      <c r="G25" s="1343" t="s">
        <v>3962</v>
      </c>
      <c r="H25" s="1343" t="s">
        <v>125</v>
      </c>
      <c r="I25" s="1332"/>
      <c r="J25" s="1387"/>
      <c r="K25" s="64" t="s">
        <v>3972</v>
      </c>
      <c r="L25" s="29">
        <v>14800</v>
      </c>
      <c r="M25" s="29" t="s">
        <v>139</v>
      </c>
      <c r="N25" s="29" t="s">
        <v>1819</v>
      </c>
      <c r="O25" s="1332"/>
      <c r="P25" s="1344" t="s">
        <v>3940</v>
      </c>
      <c r="Q25" s="1344" t="s">
        <v>3964</v>
      </c>
      <c r="R25" s="1345">
        <v>33</v>
      </c>
      <c r="S25" s="1344">
        <v>2</v>
      </c>
      <c r="T25" s="1332"/>
      <c r="U25" s="1336"/>
      <c r="V25" s="1347"/>
      <c r="W25" s="1347"/>
      <c r="X25" s="1347"/>
      <c r="Y25" s="1347"/>
      <c r="Z25" s="1347"/>
      <c r="AA25" s="1347"/>
      <c r="AB25" s="1347"/>
      <c r="AC25" s="1347"/>
      <c r="AD25" s="1347"/>
      <c r="AE25" s="1347"/>
    </row>
    <row r="26" spans="2:31" ht="12" customHeight="1">
      <c r="B26" s="1591" t="s">
        <v>1874</v>
      </c>
      <c r="C26" s="29" t="s">
        <v>3973</v>
      </c>
      <c r="D26" s="29">
        <v>73300</v>
      </c>
      <c r="E26" s="29">
        <v>71100</v>
      </c>
      <c r="F26" s="29">
        <v>75500</v>
      </c>
      <c r="G26" s="1343" t="s">
        <v>3926</v>
      </c>
      <c r="H26" s="1343" t="s">
        <v>125</v>
      </c>
      <c r="I26" s="1332"/>
      <c r="J26" s="1387"/>
      <c r="K26" s="64" t="s">
        <v>3974</v>
      </c>
      <c r="L26" s="29">
        <v>675</v>
      </c>
      <c r="M26" s="29" t="s">
        <v>139</v>
      </c>
      <c r="N26" s="29" t="s">
        <v>1819</v>
      </c>
      <c r="O26" s="1332"/>
      <c r="P26" s="1344" t="s">
        <v>3944</v>
      </c>
      <c r="Q26" s="1344" t="s">
        <v>3964</v>
      </c>
      <c r="R26" s="1345">
        <v>33</v>
      </c>
      <c r="S26" s="1344">
        <v>2</v>
      </c>
      <c r="T26" s="1332"/>
      <c r="U26" s="1336"/>
      <c r="V26" s="1347">
        <f>+V21/X21</f>
        <v>1.878679</v>
      </c>
      <c r="W26" s="1347"/>
      <c r="X26" s="1347"/>
      <c r="Y26" s="1347"/>
      <c r="Z26" s="1347"/>
      <c r="AA26" s="1347"/>
      <c r="AB26" s="1347"/>
      <c r="AC26" s="1347"/>
      <c r="AD26" s="1347"/>
      <c r="AE26" s="1347"/>
    </row>
    <row r="27" spans="2:31" ht="12" customHeight="1">
      <c r="B27" s="1387"/>
      <c r="C27" s="29" t="s">
        <v>3975</v>
      </c>
      <c r="D27" s="29">
        <v>77000</v>
      </c>
      <c r="E27" s="29">
        <v>9300</v>
      </c>
      <c r="F27" s="29">
        <v>85400</v>
      </c>
      <c r="G27" s="1343" t="s">
        <v>3926</v>
      </c>
      <c r="H27" s="1343" t="s">
        <v>125</v>
      </c>
      <c r="I27" s="1332"/>
      <c r="J27" s="1387"/>
      <c r="K27" s="64" t="s">
        <v>3976</v>
      </c>
      <c r="L27" s="29">
        <v>92</v>
      </c>
      <c r="M27" s="29" t="s">
        <v>139</v>
      </c>
      <c r="N27" s="29" t="s">
        <v>1819</v>
      </c>
      <c r="O27" s="1332"/>
      <c r="P27" s="1344" t="s">
        <v>3948</v>
      </c>
      <c r="Q27" s="1344" t="s">
        <v>3964</v>
      </c>
      <c r="R27" s="1345">
        <v>37</v>
      </c>
      <c r="S27" s="1344">
        <v>2</v>
      </c>
      <c r="T27" s="1332"/>
      <c r="U27" s="1336"/>
      <c r="V27" s="1347"/>
      <c r="W27" s="1347"/>
      <c r="X27" s="1347"/>
      <c r="Y27" s="1347"/>
      <c r="Z27" s="1347"/>
      <c r="AA27" s="1347"/>
      <c r="AB27" s="1347"/>
      <c r="AC27" s="1347"/>
      <c r="AD27" s="1347"/>
      <c r="AE27" s="1347"/>
    </row>
    <row r="28" spans="2:31" ht="12" customHeight="1">
      <c r="B28" s="1387"/>
      <c r="C28" s="29" t="s">
        <v>3943</v>
      </c>
      <c r="D28" s="29">
        <v>64200</v>
      </c>
      <c r="E28" s="29">
        <v>58300</v>
      </c>
      <c r="F28" s="29">
        <v>70400</v>
      </c>
      <c r="G28" s="1343" t="s">
        <v>3926</v>
      </c>
      <c r="H28" s="1343" t="s">
        <v>125</v>
      </c>
      <c r="I28" s="1332"/>
      <c r="J28" s="1387"/>
      <c r="K28" s="64" t="s">
        <v>3977</v>
      </c>
      <c r="L28" s="29">
        <v>3500</v>
      </c>
      <c r="M28" s="29" t="s">
        <v>139</v>
      </c>
      <c r="N28" s="29" t="s">
        <v>1819</v>
      </c>
      <c r="O28" s="1332"/>
      <c r="P28" s="1344" t="s">
        <v>3950</v>
      </c>
      <c r="Q28" s="1344" t="s">
        <v>3964</v>
      </c>
      <c r="R28" s="1345">
        <v>72.400000000000006</v>
      </c>
      <c r="S28" s="1344">
        <v>2</v>
      </c>
      <c r="T28" s="1332"/>
      <c r="U28" s="1336"/>
      <c r="V28" s="1347" t="s">
        <v>3951</v>
      </c>
      <c r="W28" s="1347" t="s">
        <v>3978</v>
      </c>
      <c r="X28" s="1347" t="s">
        <v>3953</v>
      </c>
      <c r="Y28" s="1347" t="s">
        <v>3954</v>
      </c>
      <c r="Z28" s="1347" t="s">
        <v>3953</v>
      </c>
      <c r="AA28" s="1347" t="s">
        <v>3954</v>
      </c>
      <c r="AB28" s="1347"/>
      <c r="AC28" s="1347"/>
      <c r="AD28" s="1347"/>
      <c r="AE28" s="1347"/>
    </row>
    <row r="29" spans="2:31" ht="12" customHeight="1">
      <c r="B29" s="1387"/>
      <c r="C29" s="29" t="s">
        <v>3979</v>
      </c>
      <c r="D29" s="29">
        <v>69300</v>
      </c>
      <c r="E29" s="29">
        <v>67500</v>
      </c>
      <c r="F29" s="29">
        <v>73000</v>
      </c>
      <c r="G29" s="1343" t="s">
        <v>3926</v>
      </c>
      <c r="H29" s="1343" t="s">
        <v>125</v>
      </c>
      <c r="I29" s="1332"/>
      <c r="J29" s="1387"/>
      <c r="K29" s="64" t="s">
        <v>3980</v>
      </c>
      <c r="L29" s="29">
        <v>1100</v>
      </c>
      <c r="M29" s="29" t="s">
        <v>139</v>
      </c>
      <c r="N29" s="29" t="s">
        <v>1819</v>
      </c>
      <c r="O29" s="1332"/>
      <c r="P29" s="1344" t="s">
        <v>3956</v>
      </c>
      <c r="Q29" s="1344" t="s">
        <v>3964</v>
      </c>
      <c r="R29" s="1345">
        <v>24</v>
      </c>
      <c r="S29" s="1344">
        <v>2</v>
      </c>
      <c r="T29" s="1332"/>
      <c r="U29" s="1336"/>
      <c r="V29" s="1347">
        <v>3.6</v>
      </c>
      <c r="W29" s="1347">
        <v>1</v>
      </c>
      <c r="X29" s="1347">
        <v>1000</v>
      </c>
      <c r="Y29" s="1347">
        <f>+AA30</f>
        <v>29.239766081871341</v>
      </c>
      <c r="Z29" s="1349">
        <f>+R23</f>
        <v>34.200000000000003</v>
      </c>
      <c r="AA29" s="1347">
        <v>1</v>
      </c>
      <c r="AB29" s="1347"/>
      <c r="AC29" s="1347"/>
      <c r="AD29" s="1347"/>
      <c r="AE29" s="1347"/>
    </row>
    <row r="30" spans="2:31" ht="12" customHeight="1">
      <c r="B30" s="1387"/>
      <c r="C30" s="29" t="s">
        <v>3981</v>
      </c>
      <c r="D30" s="29">
        <v>70000</v>
      </c>
      <c r="E30" s="29">
        <v>67500</v>
      </c>
      <c r="F30" s="29">
        <v>73000</v>
      </c>
      <c r="G30" s="1343" t="s">
        <v>3926</v>
      </c>
      <c r="H30" s="1343" t="s">
        <v>125</v>
      </c>
      <c r="I30" s="1332"/>
      <c r="J30" s="1387"/>
      <c r="K30" s="64" t="s">
        <v>3982</v>
      </c>
      <c r="L30" s="29">
        <v>1430</v>
      </c>
      <c r="M30" s="29" t="s">
        <v>139</v>
      </c>
      <c r="N30" s="29" t="s">
        <v>1819</v>
      </c>
      <c r="O30" s="1332"/>
      <c r="P30" s="1344" t="s">
        <v>3958</v>
      </c>
      <c r="Q30" s="1344" t="s">
        <v>3964</v>
      </c>
      <c r="R30" s="1345">
        <v>20</v>
      </c>
      <c r="S30" s="1344">
        <v>2</v>
      </c>
      <c r="T30" s="1332"/>
      <c r="U30" s="1336"/>
      <c r="V30" s="1347"/>
      <c r="W30" s="1347"/>
      <c r="X30" s="1347"/>
      <c r="Y30" s="1347"/>
      <c r="Z30" s="1347">
        <f>+X29</f>
        <v>1000</v>
      </c>
      <c r="AA30" s="1347">
        <f>+Z30*AA29/Z29</f>
        <v>29.239766081871341</v>
      </c>
      <c r="AB30" s="1347"/>
      <c r="AC30" s="1347"/>
      <c r="AD30" s="1347"/>
      <c r="AE30" s="1347"/>
    </row>
    <row r="31" spans="2:31" ht="12" customHeight="1">
      <c r="B31" s="1387"/>
      <c r="C31" s="29" t="s">
        <v>3983</v>
      </c>
      <c r="D31" s="29">
        <v>70000</v>
      </c>
      <c r="E31" s="29">
        <v>67500</v>
      </c>
      <c r="F31" s="29">
        <v>73000</v>
      </c>
      <c r="G31" s="1343" t="s">
        <v>3926</v>
      </c>
      <c r="H31" s="1343" t="s">
        <v>125</v>
      </c>
      <c r="I31" s="1332"/>
      <c r="J31" s="1387"/>
      <c r="K31" s="64" t="s">
        <v>3984</v>
      </c>
      <c r="L31" s="29">
        <v>353</v>
      </c>
      <c r="M31" s="29" t="s">
        <v>139</v>
      </c>
      <c r="N31" s="29" t="s">
        <v>1819</v>
      </c>
      <c r="O31" s="1332"/>
      <c r="P31" s="64" t="s">
        <v>3985</v>
      </c>
      <c r="Q31" s="64" t="s">
        <v>3964</v>
      </c>
      <c r="R31" s="1345">
        <v>38.6</v>
      </c>
      <c r="S31" s="29" t="s">
        <v>3986</v>
      </c>
      <c r="T31" s="1332"/>
      <c r="U31" s="1332"/>
      <c r="V31" s="1350"/>
      <c r="W31" s="1350"/>
      <c r="X31" s="1350"/>
      <c r="Y31" s="1350"/>
      <c r="Z31" s="1350"/>
      <c r="AA31" s="1350"/>
      <c r="AB31" s="1350"/>
      <c r="AC31" s="1350"/>
      <c r="AD31" s="1350"/>
      <c r="AE31" s="1350"/>
    </row>
    <row r="32" spans="2:31" ht="12" customHeight="1">
      <c r="B32" s="1387"/>
      <c r="C32" s="29" t="s">
        <v>3987</v>
      </c>
      <c r="D32" s="29">
        <v>71500</v>
      </c>
      <c r="E32" s="29">
        <v>69700</v>
      </c>
      <c r="F32" s="29">
        <v>74400</v>
      </c>
      <c r="G32" s="1343" t="s">
        <v>3926</v>
      </c>
      <c r="H32" s="1343" t="s">
        <v>125</v>
      </c>
      <c r="I32" s="1332"/>
      <c r="J32" s="1387"/>
      <c r="K32" s="64" t="s">
        <v>3988</v>
      </c>
      <c r="L32" s="29">
        <v>4470</v>
      </c>
      <c r="M32" s="29" t="s">
        <v>139</v>
      </c>
      <c r="N32" s="29" t="s">
        <v>1819</v>
      </c>
      <c r="O32" s="1332"/>
      <c r="P32" s="64" t="s">
        <v>3989</v>
      </c>
      <c r="Q32" s="64" t="s">
        <v>3964</v>
      </c>
      <c r="R32" s="1345">
        <v>34.200000000000003</v>
      </c>
      <c r="S32" s="29" t="s">
        <v>3986</v>
      </c>
      <c r="T32" s="1332"/>
      <c r="U32" s="1332"/>
      <c r="V32" s="1332"/>
      <c r="W32" s="1332"/>
      <c r="X32" s="1332"/>
      <c r="Y32" s="1332"/>
      <c r="Z32" s="1332"/>
      <c r="AA32" s="1332"/>
      <c r="AB32" s="1332"/>
      <c r="AC32" s="1332"/>
      <c r="AD32" s="1332"/>
      <c r="AE32" s="1332"/>
    </row>
    <row r="33" spans="2:27" ht="12" customHeight="1">
      <c r="B33" s="1387"/>
      <c r="C33" s="29" t="s">
        <v>3990</v>
      </c>
      <c r="D33" s="29">
        <v>71900</v>
      </c>
      <c r="E33" s="29">
        <v>70800</v>
      </c>
      <c r="F33" s="29">
        <v>73700</v>
      </c>
      <c r="G33" s="1343" t="s">
        <v>3926</v>
      </c>
      <c r="H33" s="1343" t="s">
        <v>125</v>
      </c>
      <c r="I33" s="1332"/>
      <c r="J33" s="1387"/>
      <c r="K33" s="64" t="s">
        <v>3991</v>
      </c>
      <c r="L33" s="29">
        <v>124</v>
      </c>
      <c r="M33" s="29" t="s">
        <v>139</v>
      </c>
      <c r="N33" s="29" t="s">
        <v>1819</v>
      </c>
      <c r="O33" s="1332"/>
      <c r="P33" s="64" t="s">
        <v>3985</v>
      </c>
      <c r="Q33" s="64" t="s">
        <v>3992</v>
      </c>
      <c r="R33" s="1351">
        <f t="shared" ref="R33:R34" si="0">R31/1000</f>
        <v>3.8600000000000002E-2</v>
      </c>
      <c r="S33" s="29" t="s">
        <v>3986</v>
      </c>
      <c r="T33" s="1332"/>
      <c r="U33" s="1332"/>
      <c r="V33" s="1332"/>
      <c r="W33" s="1332"/>
      <c r="X33" s="1332"/>
      <c r="Y33" s="1332"/>
      <c r="Z33" s="1332"/>
      <c r="AA33" s="1332"/>
    </row>
    <row r="34" spans="2:27" ht="12" customHeight="1">
      <c r="B34" s="1387"/>
      <c r="C34" s="29" t="s">
        <v>3993</v>
      </c>
      <c r="D34" s="29">
        <v>73300</v>
      </c>
      <c r="E34" s="29">
        <v>67800</v>
      </c>
      <c r="F34" s="29">
        <v>79200</v>
      </c>
      <c r="G34" s="1343" t="s">
        <v>3926</v>
      </c>
      <c r="H34" s="1343" t="s">
        <v>125</v>
      </c>
      <c r="I34" s="1332"/>
      <c r="J34" s="1387"/>
      <c r="K34" s="64" t="s">
        <v>3994</v>
      </c>
      <c r="L34" s="29">
        <v>3220</v>
      </c>
      <c r="M34" s="29" t="s">
        <v>139</v>
      </c>
      <c r="N34" s="29" t="s">
        <v>1819</v>
      </c>
      <c r="O34" s="1332"/>
      <c r="P34" s="64" t="s">
        <v>3989</v>
      </c>
      <c r="Q34" s="64" t="s">
        <v>3992</v>
      </c>
      <c r="R34" s="1351">
        <f t="shared" si="0"/>
        <v>3.4200000000000001E-2</v>
      </c>
      <c r="S34" s="29" t="s">
        <v>3986</v>
      </c>
      <c r="T34" s="1332"/>
      <c r="U34" s="1332"/>
      <c r="V34" s="1332"/>
      <c r="W34" s="1332"/>
      <c r="X34" s="1332"/>
      <c r="Y34" s="1332"/>
      <c r="Z34" s="1332"/>
      <c r="AA34" s="1332"/>
    </row>
    <row r="35" spans="2:27" ht="12" customHeight="1">
      <c r="B35" s="1387"/>
      <c r="C35" s="29" t="s">
        <v>3931</v>
      </c>
      <c r="D35" s="29">
        <v>74100</v>
      </c>
      <c r="E35" s="29">
        <v>72600</v>
      </c>
      <c r="F35" s="29">
        <v>74800</v>
      </c>
      <c r="G35" s="1343" t="s">
        <v>3926</v>
      </c>
      <c r="H35" s="1343" t="s">
        <v>125</v>
      </c>
      <c r="I35" s="1332"/>
      <c r="J35" s="1387"/>
      <c r="K35" s="64" t="s">
        <v>3995</v>
      </c>
      <c r="L35" s="29">
        <v>9810</v>
      </c>
      <c r="M35" s="29" t="s">
        <v>139</v>
      </c>
      <c r="N35" s="29" t="s">
        <v>1819</v>
      </c>
      <c r="O35" s="1332"/>
      <c r="P35" s="64" t="s">
        <v>3939</v>
      </c>
      <c r="Q35" s="64" t="s">
        <v>3996</v>
      </c>
      <c r="R35" s="1351">
        <v>27.5</v>
      </c>
      <c r="S35" s="29" t="s">
        <v>3997</v>
      </c>
      <c r="T35" s="1332"/>
      <c r="U35" s="1332"/>
      <c r="V35" s="1332"/>
      <c r="W35" s="1332"/>
      <c r="X35" s="1332"/>
      <c r="Y35" s="1332"/>
      <c r="Z35" s="1332"/>
      <c r="AA35" s="1332"/>
    </row>
    <row r="36" spans="2:27" ht="12" customHeight="1">
      <c r="B36" s="1387"/>
      <c r="C36" s="29" t="s">
        <v>3998</v>
      </c>
      <c r="D36" s="29">
        <v>77400</v>
      </c>
      <c r="E36" s="29">
        <v>75500</v>
      </c>
      <c r="F36" s="29">
        <v>74800</v>
      </c>
      <c r="G36" s="1343" t="s">
        <v>3926</v>
      </c>
      <c r="H36" s="1343" t="s">
        <v>125</v>
      </c>
      <c r="I36" s="1332"/>
      <c r="J36" s="1387"/>
      <c r="K36" s="64" t="s">
        <v>3999</v>
      </c>
      <c r="L36" s="29">
        <v>1030</v>
      </c>
      <c r="M36" s="29" t="s">
        <v>139</v>
      </c>
      <c r="N36" s="29" t="s">
        <v>1819</v>
      </c>
      <c r="O36" s="1332"/>
      <c r="P36" s="64" t="s">
        <v>3939</v>
      </c>
      <c r="Q36" s="64" t="s">
        <v>4000</v>
      </c>
      <c r="R36" s="1351">
        <v>932</v>
      </c>
      <c r="S36" s="29" t="s">
        <v>4001</v>
      </c>
      <c r="T36" s="1332"/>
      <c r="U36" s="1332"/>
      <c r="V36" s="1332"/>
      <c r="W36" s="1332"/>
      <c r="X36" s="1332"/>
      <c r="Y36" s="1332"/>
      <c r="Z36" s="1332"/>
      <c r="AA36" s="1332"/>
    </row>
    <row r="37" spans="2:27" ht="12" customHeight="1">
      <c r="B37" s="1387"/>
      <c r="C37" s="29" t="s">
        <v>3960</v>
      </c>
      <c r="D37" s="29">
        <v>63100</v>
      </c>
      <c r="E37" s="29">
        <v>61600</v>
      </c>
      <c r="F37" s="29">
        <v>65600</v>
      </c>
      <c r="G37" s="1343" t="s">
        <v>3926</v>
      </c>
      <c r="H37" s="1343" t="s">
        <v>125</v>
      </c>
      <c r="I37" s="1332"/>
      <c r="J37" s="1387"/>
      <c r="K37" s="64" t="s">
        <v>4002</v>
      </c>
      <c r="L37" s="29">
        <v>1640</v>
      </c>
      <c r="M37" s="29" t="s">
        <v>139</v>
      </c>
      <c r="N37" s="29" t="s">
        <v>1819</v>
      </c>
      <c r="O37" s="1332"/>
      <c r="P37" s="1332"/>
      <c r="Q37" s="1332"/>
      <c r="R37" s="1332"/>
      <c r="S37" s="1332"/>
      <c r="T37" s="1332"/>
      <c r="U37" s="1332"/>
      <c r="V37" s="1332"/>
      <c r="W37" s="1332"/>
      <c r="X37" s="1332"/>
      <c r="Y37" s="1332"/>
      <c r="Z37" s="1332"/>
      <c r="AA37" s="1332"/>
    </row>
    <row r="38" spans="2:27" ht="12" customHeight="1">
      <c r="B38" s="1387"/>
      <c r="C38" s="29" t="s">
        <v>3973</v>
      </c>
      <c r="D38" s="29">
        <v>10</v>
      </c>
      <c r="E38" s="29">
        <v>3</v>
      </c>
      <c r="F38" s="29">
        <v>30</v>
      </c>
      <c r="G38" s="1343" t="s">
        <v>3946</v>
      </c>
      <c r="H38" s="1343" t="s">
        <v>125</v>
      </c>
      <c r="I38" s="1332"/>
      <c r="J38" s="1387"/>
      <c r="K38" s="64" t="s">
        <v>4003</v>
      </c>
      <c r="L38" s="29">
        <v>7390</v>
      </c>
      <c r="M38" s="29" t="s">
        <v>139</v>
      </c>
      <c r="N38" s="29" t="s">
        <v>1819</v>
      </c>
      <c r="O38" s="1332"/>
      <c r="P38" s="1332"/>
      <c r="Q38" s="1332"/>
      <c r="R38" s="1332"/>
      <c r="S38" s="1332"/>
      <c r="T38" s="1332"/>
      <c r="U38" s="1332"/>
      <c r="V38" s="1332"/>
      <c r="W38" s="1332"/>
      <c r="X38" s="1332"/>
      <c r="Y38" s="1332"/>
      <c r="Z38" s="1332"/>
      <c r="AA38" s="1332"/>
    </row>
    <row r="39" spans="2:27" ht="12" customHeight="1">
      <c r="B39" s="1387"/>
      <c r="C39" s="29" t="s">
        <v>3975</v>
      </c>
      <c r="D39" s="29">
        <v>10</v>
      </c>
      <c r="E39" s="29">
        <v>3</v>
      </c>
      <c r="F39" s="29">
        <v>30</v>
      </c>
      <c r="G39" s="1343" t="s">
        <v>3946</v>
      </c>
      <c r="H39" s="1343" t="s">
        <v>125</v>
      </c>
      <c r="I39" s="1332"/>
      <c r="J39" s="1387"/>
      <c r="K39" s="64" t="s">
        <v>4004</v>
      </c>
      <c r="L39" s="29">
        <v>12200</v>
      </c>
      <c r="M39" s="29" t="s">
        <v>139</v>
      </c>
      <c r="N39" s="29" t="s">
        <v>1819</v>
      </c>
      <c r="O39" s="1332"/>
      <c r="P39" s="1332"/>
      <c r="Q39" s="1332"/>
      <c r="R39" s="1332"/>
      <c r="S39" s="1332"/>
      <c r="T39" s="1332"/>
      <c r="U39" s="1332"/>
      <c r="V39" s="1332"/>
      <c r="W39" s="1332"/>
      <c r="X39" s="1332"/>
      <c r="Y39" s="1332"/>
      <c r="Z39" s="1332"/>
      <c r="AA39" s="1332"/>
    </row>
    <row r="40" spans="2:27" ht="12" customHeight="1">
      <c r="B40" s="1387"/>
      <c r="C40" s="29" t="s">
        <v>3943</v>
      </c>
      <c r="D40" s="29">
        <v>10</v>
      </c>
      <c r="E40" s="29">
        <v>3</v>
      </c>
      <c r="F40" s="29">
        <v>30</v>
      </c>
      <c r="G40" s="1343" t="s">
        <v>3946</v>
      </c>
      <c r="H40" s="1343" t="s">
        <v>125</v>
      </c>
      <c r="I40" s="1332"/>
      <c r="J40" s="1387"/>
      <c r="K40" s="64" t="s">
        <v>4005</v>
      </c>
      <c r="L40" s="29">
        <v>8830</v>
      </c>
      <c r="M40" s="29" t="s">
        <v>139</v>
      </c>
      <c r="N40" s="29" t="s">
        <v>1819</v>
      </c>
      <c r="O40" s="1332"/>
      <c r="P40" s="1332"/>
      <c r="Q40" s="1332"/>
      <c r="R40" s="1332"/>
      <c r="S40" s="1332"/>
      <c r="T40" s="1332"/>
      <c r="U40" s="1332"/>
      <c r="V40" s="1332"/>
      <c r="W40" s="1332"/>
      <c r="X40" s="1332"/>
      <c r="Y40" s="1332"/>
      <c r="Z40" s="1332"/>
      <c r="AA40" s="1332"/>
    </row>
    <row r="41" spans="2:27" ht="12" customHeight="1">
      <c r="B41" s="1387"/>
      <c r="C41" s="29" t="s">
        <v>4006</v>
      </c>
      <c r="D41" s="29">
        <v>10</v>
      </c>
      <c r="E41" s="29">
        <v>3</v>
      </c>
      <c r="F41" s="29">
        <v>30</v>
      </c>
      <c r="G41" s="1343" t="s">
        <v>3946</v>
      </c>
      <c r="H41" s="1343" t="s">
        <v>125</v>
      </c>
      <c r="I41" s="1332"/>
      <c r="J41" s="1387"/>
      <c r="K41" s="64" t="s">
        <v>4007</v>
      </c>
      <c r="L41" s="29">
        <v>10300</v>
      </c>
      <c r="M41" s="29" t="s">
        <v>139</v>
      </c>
      <c r="N41" s="29" t="s">
        <v>1819</v>
      </c>
      <c r="O41" s="1332"/>
      <c r="P41" s="1332"/>
      <c r="Q41" s="1332"/>
      <c r="R41" s="1332"/>
      <c r="S41" s="1332"/>
      <c r="T41" s="1332"/>
      <c r="U41" s="1332"/>
      <c r="V41" s="1332"/>
      <c r="W41" s="1332"/>
      <c r="X41" s="1332"/>
      <c r="Y41" s="1332"/>
      <c r="Z41" s="1332"/>
      <c r="AA41" s="1332"/>
    </row>
    <row r="42" spans="2:27" ht="12" customHeight="1">
      <c r="B42" s="1387"/>
      <c r="C42" s="29" t="s">
        <v>3981</v>
      </c>
      <c r="D42" s="29">
        <v>10</v>
      </c>
      <c r="E42" s="29">
        <v>3</v>
      </c>
      <c r="F42" s="29">
        <v>30</v>
      </c>
      <c r="G42" s="1343" t="s">
        <v>3946</v>
      </c>
      <c r="H42" s="1343" t="s">
        <v>125</v>
      </c>
      <c r="I42" s="1332"/>
      <c r="J42" s="1387"/>
      <c r="K42" s="64" t="s">
        <v>4008</v>
      </c>
      <c r="L42" s="29">
        <v>8860</v>
      </c>
      <c r="M42" s="29" t="s">
        <v>139</v>
      </c>
      <c r="N42" s="29" t="s">
        <v>1819</v>
      </c>
      <c r="O42" s="1332"/>
      <c r="P42" s="1332"/>
      <c r="Q42" s="1332"/>
      <c r="R42" s="1332"/>
      <c r="S42" s="1332"/>
      <c r="T42" s="1332"/>
      <c r="U42" s="1332"/>
      <c r="V42" s="1332"/>
      <c r="W42" s="1332"/>
      <c r="X42" s="1332"/>
      <c r="Y42" s="1332"/>
      <c r="Z42" s="1332"/>
      <c r="AA42" s="1332"/>
    </row>
    <row r="43" spans="2:27" ht="12" customHeight="1">
      <c r="B43" s="1387"/>
      <c r="C43" s="29" t="s">
        <v>3983</v>
      </c>
      <c r="D43" s="29">
        <v>10</v>
      </c>
      <c r="E43" s="29">
        <v>3</v>
      </c>
      <c r="F43" s="29">
        <v>30</v>
      </c>
      <c r="G43" s="1343" t="s">
        <v>3946</v>
      </c>
      <c r="H43" s="1343" t="s">
        <v>125</v>
      </c>
      <c r="I43" s="1332"/>
      <c r="J43" s="1387"/>
      <c r="K43" s="64" t="s">
        <v>4009</v>
      </c>
      <c r="L43" s="29">
        <v>9160</v>
      </c>
      <c r="M43" s="29" t="s">
        <v>139</v>
      </c>
      <c r="N43" s="29" t="s">
        <v>1819</v>
      </c>
      <c r="O43" s="1332"/>
      <c r="P43" s="1332"/>
      <c r="Q43" s="1332"/>
      <c r="R43" s="1332"/>
      <c r="S43" s="1332"/>
      <c r="T43" s="1332"/>
      <c r="U43" s="1332"/>
      <c r="V43" s="1332"/>
      <c r="W43" s="1332"/>
      <c r="X43" s="1332"/>
      <c r="Y43" s="1332"/>
      <c r="Z43" s="1332"/>
      <c r="AA43" s="1332"/>
    </row>
    <row r="44" spans="2:27" ht="12" customHeight="1">
      <c r="B44" s="1387"/>
      <c r="C44" s="29" t="s">
        <v>3987</v>
      </c>
      <c r="D44" s="29">
        <v>10</v>
      </c>
      <c r="E44" s="29">
        <v>3</v>
      </c>
      <c r="F44" s="29">
        <v>30</v>
      </c>
      <c r="G44" s="1343" t="s">
        <v>3946</v>
      </c>
      <c r="H44" s="1343" t="s">
        <v>125</v>
      </c>
      <c r="I44" s="1332"/>
      <c r="J44" s="1387"/>
      <c r="K44" s="64" t="s">
        <v>4010</v>
      </c>
      <c r="L44" s="29">
        <v>9300</v>
      </c>
      <c r="M44" s="29" t="s">
        <v>139</v>
      </c>
      <c r="N44" s="29" t="s">
        <v>1819</v>
      </c>
      <c r="O44" s="1332"/>
      <c r="P44" s="1332"/>
      <c r="Q44" s="1332"/>
      <c r="R44" s="1332"/>
      <c r="S44" s="1332"/>
      <c r="T44" s="1332"/>
      <c r="U44" s="1332"/>
      <c r="V44" s="1332"/>
      <c r="W44" s="1332"/>
      <c r="X44" s="1332"/>
      <c r="Y44" s="1332"/>
      <c r="Z44" s="1332"/>
      <c r="AA44" s="1332"/>
    </row>
    <row r="45" spans="2:27" ht="12" customHeight="1">
      <c r="B45" s="1387"/>
      <c r="C45" s="29" t="s">
        <v>3990</v>
      </c>
      <c r="D45" s="29">
        <v>10</v>
      </c>
      <c r="E45" s="29">
        <v>3</v>
      </c>
      <c r="F45" s="29">
        <v>30</v>
      </c>
      <c r="G45" s="1343" t="s">
        <v>3946</v>
      </c>
      <c r="H45" s="1343" t="s">
        <v>125</v>
      </c>
      <c r="I45" s="1332"/>
      <c r="J45" s="1387"/>
      <c r="K45" s="64" t="s">
        <v>4011</v>
      </c>
      <c r="L45" s="29">
        <v>22800</v>
      </c>
      <c r="M45" s="29" t="s">
        <v>139</v>
      </c>
      <c r="N45" s="29" t="s">
        <v>1819</v>
      </c>
      <c r="O45" s="1332"/>
      <c r="P45" s="1332"/>
      <c r="Q45" s="1332"/>
      <c r="R45" s="1332"/>
      <c r="S45" s="1332"/>
      <c r="T45" s="1332"/>
      <c r="U45" s="1332"/>
      <c r="V45" s="1332"/>
      <c r="W45" s="1332"/>
      <c r="X45" s="1332"/>
      <c r="Y45" s="1332"/>
      <c r="Z45" s="1332"/>
      <c r="AA45" s="1332"/>
    </row>
    <row r="46" spans="2:27" ht="12" customHeight="1">
      <c r="B46" s="1387"/>
      <c r="C46" s="29" t="s">
        <v>3993</v>
      </c>
      <c r="D46" s="29">
        <v>10</v>
      </c>
      <c r="E46" s="29">
        <v>3</v>
      </c>
      <c r="F46" s="29">
        <v>30</v>
      </c>
      <c r="G46" s="1343" t="s">
        <v>3946</v>
      </c>
      <c r="H46" s="1343" t="s">
        <v>125</v>
      </c>
      <c r="I46" s="1332"/>
      <c r="J46" s="1387"/>
      <c r="K46" s="64" t="s">
        <v>4012</v>
      </c>
      <c r="L46" s="29">
        <v>3922</v>
      </c>
      <c r="M46" s="29" t="s">
        <v>139</v>
      </c>
      <c r="N46" s="29" t="s">
        <v>1819</v>
      </c>
      <c r="O46" s="1332"/>
      <c r="P46" s="1332"/>
      <c r="Q46" s="1332"/>
      <c r="R46" s="1332"/>
      <c r="S46" s="1332"/>
      <c r="T46" s="1332"/>
      <c r="U46" s="1332"/>
      <c r="V46" s="1332"/>
      <c r="W46" s="1332"/>
      <c r="X46" s="1332"/>
      <c r="Y46" s="1332"/>
      <c r="Z46" s="1332"/>
      <c r="AA46" s="1332"/>
    </row>
    <row r="47" spans="2:27" ht="12" customHeight="1">
      <c r="B47" s="1387"/>
      <c r="C47" s="29" t="s">
        <v>3931</v>
      </c>
      <c r="D47" s="29">
        <v>10</v>
      </c>
      <c r="E47" s="29">
        <v>3</v>
      </c>
      <c r="F47" s="29">
        <v>30</v>
      </c>
      <c r="G47" s="1343" t="s">
        <v>3946</v>
      </c>
      <c r="H47" s="1343" t="s">
        <v>125</v>
      </c>
      <c r="I47" s="1332"/>
      <c r="J47" s="1387"/>
      <c r="K47" s="64" t="s">
        <v>4013</v>
      </c>
      <c r="L47" s="29">
        <v>2107</v>
      </c>
      <c r="M47" s="29" t="s">
        <v>139</v>
      </c>
      <c r="N47" s="29" t="s">
        <v>1819</v>
      </c>
      <c r="O47" s="1332"/>
      <c r="P47" s="1332"/>
      <c r="Q47" s="1332"/>
      <c r="R47" s="1332"/>
      <c r="S47" s="1332"/>
      <c r="T47" s="1332"/>
      <c r="U47" s="1332"/>
      <c r="V47" s="1332"/>
      <c r="W47" s="1332"/>
      <c r="X47" s="1332"/>
      <c r="Y47" s="1332"/>
      <c r="Z47" s="1332"/>
      <c r="AA47" s="1332"/>
    </row>
    <row r="48" spans="2:27" ht="12" customHeight="1">
      <c r="B48" s="1387"/>
      <c r="C48" s="29" t="s">
        <v>3998</v>
      </c>
      <c r="D48" s="29">
        <v>10</v>
      </c>
      <c r="E48" s="29">
        <v>3</v>
      </c>
      <c r="F48" s="29">
        <v>30</v>
      </c>
      <c r="G48" s="1343" t="s">
        <v>3946</v>
      </c>
      <c r="H48" s="1343" t="s">
        <v>125</v>
      </c>
      <c r="I48" s="1332"/>
      <c r="J48" s="1387"/>
      <c r="K48" s="64" t="s">
        <v>4014</v>
      </c>
      <c r="L48" s="29">
        <v>1774</v>
      </c>
      <c r="M48" s="29" t="s">
        <v>139</v>
      </c>
      <c r="N48" s="29" t="s">
        <v>1819</v>
      </c>
      <c r="O48" s="1332"/>
      <c r="P48" s="1332"/>
      <c r="Q48" s="1332"/>
      <c r="R48" s="1332"/>
      <c r="S48" s="1332"/>
      <c r="T48" s="1332"/>
      <c r="U48" s="1332"/>
      <c r="V48" s="1332"/>
      <c r="W48" s="1332"/>
      <c r="X48" s="1332"/>
      <c r="Y48" s="1332"/>
      <c r="Z48" s="1332"/>
      <c r="AA48" s="1332"/>
    </row>
    <row r="49" spans="2:27" ht="12" customHeight="1">
      <c r="B49" s="1387"/>
      <c r="C49" s="29" t="s">
        <v>3960</v>
      </c>
      <c r="D49" s="29">
        <v>5</v>
      </c>
      <c r="E49" s="29">
        <v>1.5</v>
      </c>
      <c r="F49" s="29">
        <v>15</v>
      </c>
      <c r="G49" s="1343" t="s">
        <v>3946</v>
      </c>
      <c r="H49" s="1343" t="s">
        <v>125</v>
      </c>
      <c r="I49" s="1332"/>
      <c r="J49" s="1387"/>
      <c r="K49" s="64" t="s">
        <v>4015</v>
      </c>
      <c r="L49" s="29">
        <v>1825</v>
      </c>
      <c r="M49" s="29" t="s">
        <v>139</v>
      </c>
      <c r="N49" s="29" t="s">
        <v>1819</v>
      </c>
      <c r="O49" s="1332"/>
      <c r="P49" s="1332"/>
      <c r="Q49" s="1332"/>
      <c r="R49" s="1332"/>
      <c r="S49" s="1332"/>
      <c r="T49" s="1332"/>
      <c r="U49" s="1332"/>
      <c r="V49" s="1332"/>
      <c r="W49" s="1332"/>
      <c r="X49" s="1332"/>
      <c r="Y49" s="1332"/>
      <c r="Z49" s="1332"/>
      <c r="AA49" s="1332"/>
    </row>
    <row r="50" spans="2:27" ht="12" customHeight="1">
      <c r="B50" s="1387"/>
      <c r="C50" s="29" t="s">
        <v>3973</v>
      </c>
      <c r="D50" s="29">
        <v>0.6</v>
      </c>
      <c r="E50" s="29">
        <v>0.2</v>
      </c>
      <c r="F50" s="29">
        <v>2</v>
      </c>
      <c r="G50" s="1343" t="s">
        <v>3962</v>
      </c>
      <c r="H50" s="1343" t="s">
        <v>125</v>
      </c>
      <c r="I50" s="1332"/>
      <c r="J50" s="1387"/>
      <c r="K50" s="64" t="s">
        <v>4016</v>
      </c>
      <c r="L50" s="29">
        <v>3152</v>
      </c>
      <c r="M50" s="29" t="s">
        <v>139</v>
      </c>
      <c r="N50" s="29" t="s">
        <v>1819</v>
      </c>
      <c r="O50" s="1335"/>
      <c r="P50" s="1335"/>
      <c r="Q50" s="1335"/>
      <c r="R50" s="1335"/>
      <c r="S50" s="1335"/>
      <c r="T50" s="1335"/>
      <c r="U50" s="1335"/>
      <c r="V50" s="1335"/>
      <c r="W50" s="1335"/>
      <c r="X50" s="1332"/>
      <c r="Y50" s="1332"/>
      <c r="Z50" s="1332"/>
      <c r="AA50" s="1332"/>
    </row>
    <row r="51" spans="2:27" ht="12" customHeight="1">
      <c r="B51" s="1387"/>
      <c r="C51" s="29" t="s">
        <v>3975</v>
      </c>
      <c r="D51" s="29">
        <v>0.6</v>
      </c>
      <c r="E51" s="29">
        <v>0.2</v>
      </c>
      <c r="F51" s="29">
        <v>2</v>
      </c>
      <c r="G51" s="1343" t="s">
        <v>3962</v>
      </c>
      <c r="H51" s="1343" t="s">
        <v>125</v>
      </c>
      <c r="I51" s="1332"/>
      <c r="J51" s="1387"/>
      <c r="K51" s="64" t="s">
        <v>1800</v>
      </c>
      <c r="L51" s="29">
        <v>2088</v>
      </c>
      <c r="M51" s="29" t="s">
        <v>139</v>
      </c>
      <c r="N51" s="1247" t="s">
        <v>1819</v>
      </c>
      <c r="O51" s="992" t="s">
        <v>4017</v>
      </c>
      <c r="P51" s="992" t="s">
        <v>4018</v>
      </c>
      <c r="Q51" s="992"/>
      <c r="R51" s="992"/>
      <c r="S51" s="992"/>
      <c r="T51" s="992"/>
      <c r="U51" s="992"/>
      <c r="V51" s="992"/>
      <c r="W51" s="992"/>
      <c r="X51" s="1352"/>
      <c r="Y51" s="1332"/>
      <c r="Z51" s="1332"/>
      <c r="AA51" s="1332"/>
    </row>
    <row r="52" spans="2:27" ht="12" customHeight="1">
      <c r="B52" s="1387"/>
      <c r="C52" s="29" t="s">
        <v>3943</v>
      </c>
      <c r="D52" s="29">
        <v>0.6</v>
      </c>
      <c r="E52" s="29">
        <v>0.2</v>
      </c>
      <c r="F52" s="29">
        <v>2</v>
      </c>
      <c r="G52" s="1343" t="s">
        <v>3962</v>
      </c>
      <c r="H52" s="1343" t="s">
        <v>125</v>
      </c>
      <c r="I52" s="1332"/>
      <c r="J52" s="1387"/>
      <c r="K52" s="64" t="s">
        <v>4019</v>
      </c>
      <c r="L52" s="29">
        <v>3985</v>
      </c>
      <c r="M52" s="29" t="s">
        <v>139</v>
      </c>
      <c r="N52" s="1247" t="s">
        <v>1819</v>
      </c>
      <c r="O52" s="992" t="s">
        <v>4020</v>
      </c>
      <c r="P52" s="992" t="s">
        <v>4021</v>
      </c>
      <c r="Q52" s="992"/>
      <c r="R52" s="992"/>
      <c r="S52" s="992"/>
      <c r="T52" s="992"/>
      <c r="U52" s="992"/>
      <c r="V52" s="992"/>
      <c r="W52" s="992"/>
      <c r="X52" s="1352"/>
      <c r="Y52" s="1332"/>
      <c r="Z52" s="1332"/>
      <c r="AA52" s="1332"/>
    </row>
    <row r="53" spans="2:27" ht="12" customHeight="1">
      <c r="B53" s="1387"/>
      <c r="C53" s="29" t="s">
        <v>4006</v>
      </c>
      <c r="D53" s="29">
        <v>0.6</v>
      </c>
      <c r="E53" s="29">
        <v>0.2</v>
      </c>
      <c r="F53" s="29">
        <v>2</v>
      </c>
      <c r="G53" s="1343" t="s">
        <v>3962</v>
      </c>
      <c r="H53" s="1343" t="s">
        <v>125</v>
      </c>
      <c r="I53" s="1332"/>
      <c r="J53" s="1387"/>
      <c r="K53" s="64" t="s">
        <v>4022</v>
      </c>
      <c r="L53" s="29">
        <v>13396</v>
      </c>
      <c r="M53" s="29" t="s">
        <v>139</v>
      </c>
      <c r="N53" s="1247" t="s">
        <v>1819</v>
      </c>
      <c r="O53" s="992" t="s">
        <v>4023</v>
      </c>
      <c r="P53" s="992" t="s">
        <v>4024</v>
      </c>
      <c r="Q53" s="992"/>
      <c r="R53" s="992"/>
      <c r="S53" s="992"/>
      <c r="T53" s="992"/>
      <c r="U53" s="992"/>
      <c r="V53" s="992"/>
      <c r="W53" s="992"/>
      <c r="X53" s="1352"/>
      <c r="Y53" s="1332"/>
      <c r="Z53" s="1332"/>
      <c r="AA53" s="1332"/>
    </row>
    <row r="54" spans="2:27" ht="12" customHeight="1">
      <c r="B54" s="1387"/>
      <c r="C54" s="29" t="s">
        <v>3981</v>
      </c>
      <c r="D54" s="29">
        <v>0.6</v>
      </c>
      <c r="E54" s="29">
        <v>0.2</v>
      </c>
      <c r="F54" s="29">
        <v>2</v>
      </c>
      <c r="G54" s="1343" t="s">
        <v>3962</v>
      </c>
      <c r="H54" s="1343" t="s">
        <v>125</v>
      </c>
      <c r="I54" s="1332"/>
      <c r="J54" s="1387"/>
      <c r="K54" s="64" t="s">
        <v>4025</v>
      </c>
      <c r="L54" s="29">
        <v>3124</v>
      </c>
      <c r="M54" s="29" t="s">
        <v>139</v>
      </c>
      <c r="N54" s="1247" t="s">
        <v>1819</v>
      </c>
      <c r="O54" s="992" t="s">
        <v>4026</v>
      </c>
      <c r="P54" s="992" t="s">
        <v>4027</v>
      </c>
      <c r="Q54" s="992"/>
      <c r="R54" s="992"/>
      <c r="S54" s="992"/>
      <c r="T54" s="992"/>
      <c r="U54" s="992"/>
      <c r="V54" s="992"/>
      <c r="W54" s="992"/>
      <c r="X54" s="1352"/>
      <c r="Y54" s="1332"/>
      <c r="Z54" s="1332"/>
      <c r="AA54" s="1332"/>
    </row>
    <row r="55" spans="2:27" ht="12" customHeight="1">
      <c r="B55" s="1387"/>
      <c r="C55" s="29" t="s">
        <v>3983</v>
      </c>
      <c r="D55" s="29">
        <v>0.6</v>
      </c>
      <c r="E55" s="29">
        <v>0.2</v>
      </c>
      <c r="F55" s="29">
        <v>2</v>
      </c>
      <c r="G55" s="1343" t="s">
        <v>3962</v>
      </c>
      <c r="H55" s="1343" t="s">
        <v>125</v>
      </c>
      <c r="I55" s="1332"/>
      <c r="J55" s="1387"/>
      <c r="K55" s="64" t="s">
        <v>4028</v>
      </c>
      <c r="L55" s="29">
        <v>4750</v>
      </c>
      <c r="M55" s="29" t="s">
        <v>139</v>
      </c>
      <c r="N55" s="1247" t="s">
        <v>1819</v>
      </c>
      <c r="O55" s="992" t="s">
        <v>4029</v>
      </c>
      <c r="P55" s="992" t="s">
        <v>4030</v>
      </c>
      <c r="Q55" s="992"/>
      <c r="R55" s="992"/>
      <c r="S55" s="992"/>
      <c r="T55" s="992"/>
      <c r="U55" s="992"/>
      <c r="V55" s="992"/>
      <c r="W55" s="992"/>
      <c r="X55" s="1352"/>
      <c r="Y55" s="1332"/>
      <c r="Z55" s="1332"/>
      <c r="AA55" s="1332"/>
    </row>
    <row r="56" spans="2:27" ht="12" customHeight="1">
      <c r="B56" s="1387"/>
      <c r="C56" s="29" t="s">
        <v>3987</v>
      </c>
      <c r="D56" s="29">
        <v>0.6</v>
      </c>
      <c r="E56" s="29">
        <v>0.2</v>
      </c>
      <c r="F56" s="29">
        <v>2</v>
      </c>
      <c r="G56" s="1343" t="s">
        <v>3962</v>
      </c>
      <c r="H56" s="1343" t="s">
        <v>125</v>
      </c>
      <c r="I56" s="1332"/>
      <c r="J56" s="1387"/>
      <c r="K56" s="64" t="s">
        <v>4031</v>
      </c>
      <c r="L56" s="29">
        <v>10900</v>
      </c>
      <c r="M56" s="29" t="s">
        <v>139</v>
      </c>
      <c r="N56" s="1247" t="s">
        <v>1819</v>
      </c>
      <c r="O56" s="992" t="s">
        <v>4032</v>
      </c>
      <c r="P56" s="992" t="s">
        <v>4033</v>
      </c>
      <c r="Q56" s="992"/>
      <c r="R56" s="992"/>
      <c r="S56" s="992"/>
      <c r="T56" s="992"/>
      <c r="U56" s="992"/>
      <c r="V56" s="992"/>
      <c r="W56" s="992"/>
      <c r="X56" s="1352"/>
      <c r="Y56" s="1332"/>
      <c r="Z56" s="1332"/>
      <c r="AA56" s="1332"/>
    </row>
    <row r="57" spans="2:27" ht="12" customHeight="1">
      <c r="B57" s="1387"/>
      <c r="C57" s="29" t="s">
        <v>3990</v>
      </c>
      <c r="D57" s="29">
        <v>0.6</v>
      </c>
      <c r="E57" s="29">
        <v>0.2</v>
      </c>
      <c r="F57" s="29">
        <v>2</v>
      </c>
      <c r="G57" s="1343" t="s">
        <v>3962</v>
      </c>
      <c r="H57" s="1343" t="s">
        <v>125</v>
      </c>
      <c r="I57" s="1332"/>
      <c r="J57" s="1387"/>
      <c r="K57" s="64" t="s">
        <v>4034</v>
      </c>
      <c r="L57" s="29">
        <v>14400</v>
      </c>
      <c r="M57" s="29" t="s">
        <v>139</v>
      </c>
      <c r="N57" s="1247" t="s">
        <v>1819</v>
      </c>
      <c r="O57" s="992" t="s">
        <v>4035</v>
      </c>
      <c r="P57" s="992" t="s">
        <v>127</v>
      </c>
      <c r="Q57" s="992"/>
      <c r="R57" s="992"/>
      <c r="S57" s="992"/>
      <c r="T57" s="992"/>
      <c r="U57" s="992"/>
      <c r="V57" s="992"/>
      <c r="W57" s="992"/>
      <c r="X57" s="1352"/>
      <c r="Y57" s="1332"/>
      <c r="Z57" s="1332"/>
      <c r="AA57" s="1332"/>
    </row>
    <row r="58" spans="2:27" ht="12" customHeight="1">
      <c r="B58" s="1387"/>
      <c r="C58" s="29" t="s">
        <v>3993</v>
      </c>
      <c r="D58" s="29">
        <v>0.6</v>
      </c>
      <c r="E58" s="29">
        <v>0.2</v>
      </c>
      <c r="F58" s="29">
        <v>2</v>
      </c>
      <c r="G58" s="1343" t="s">
        <v>3962</v>
      </c>
      <c r="H58" s="1343" t="s">
        <v>125</v>
      </c>
      <c r="I58" s="1332"/>
      <c r="J58" s="1387"/>
      <c r="K58" s="64" t="s">
        <v>4036</v>
      </c>
      <c r="L58" s="29">
        <v>6130</v>
      </c>
      <c r="M58" s="29" t="s">
        <v>139</v>
      </c>
      <c r="N58" s="1247" t="s">
        <v>1819</v>
      </c>
      <c r="O58" s="992" t="s">
        <v>4037</v>
      </c>
      <c r="P58" s="992" t="s">
        <v>127</v>
      </c>
      <c r="Q58" s="992"/>
      <c r="R58" s="992"/>
      <c r="S58" s="992"/>
      <c r="T58" s="992"/>
      <c r="U58" s="992"/>
      <c r="V58" s="992"/>
      <c r="W58" s="992"/>
      <c r="X58" s="1352"/>
      <c r="Y58" s="1332"/>
      <c r="Z58" s="1332"/>
      <c r="AA58" s="1332"/>
    </row>
    <row r="59" spans="2:27" ht="12" customHeight="1">
      <c r="B59" s="1387"/>
      <c r="C59" s="29" t="s">
        <v>3931</v>
      </c>
      <c r="D59" s="29">
        <v>0.6</v>
      </c>
      <c r="E59" s="29">
        <v>0.2</v>
      </c>
      <c r="F59" s="29">
        <v>2</v>
      </c>
      <c r="G59" s="1343" t="s">
        <v>3962</v>
      </c>
      <c r="H59" s="1343" t="s">
        <v>125</v>
      </c>
      <c r="I59" s="1332"/>
      <c r="J59" s="1387"/>
      <c r="K59" s="64" t="s">
        <v>4038</v>
      </c>
      <c r="L59" s="29">
        <v>10000</v>
      </c>
      <c r="M59" s="29" t="s">
        <v>139</v>
      </c>
      <c r="N59" s="1247" t="s">
        <v>1819</v>
      </c>
      <c r="O59" s="992" t="s">
        <v>4039</v>
      </c>
      <c r="P59" s="992" t="s">
        <v>4040</v>
      </c>
      <c r="Q59" s="992"/>
      <c r="R59" s="992"/>
      <c r="S59" s="992"/>
      <c r="T59" s="992"/>
      <c r="U59" s="992"/>
      <c r="V59" s="992"/>
      <c r="W59" s="992"/>
      <c r="X59" s="1352"/>
      <c r="Y59" s="1332"/>
      <c r="Z59" s="1332"/>
      <c r="AA59" s="1332"/>
    </row>
    <row r="60" spans="2:27" ht="12" customHeight="1">
      <c r="B60" s="1387"/>
      <c r="C60" s="29" t="s">
        <v>3998</v>
      </c>
      <c r="D60" s="29">
        <v>0.6</v>
      </c>
      <c r="E60" s="29">
        <v>0.2</v>
      </c>
      <c r="F60" s="29">
        <v>2</v>
      </c>
      <c r="G60" s="1343" t="s">
        <v>3962</v>
      </c>
      <c r="H60" s="1343" t="s">
        <v>125</v>
      </c>
      <c r="I60" s="1332"/>
      <c r="J60" s="1387"/>
      <c r="K60" s="64" t="s">
        <v>4041</v>
      </c>
      <c r="L60" s="29">
        <v>7370</v>
      </c>
      <c r="M60" s="29" t="s">
        <v>139</v>
      </c>
      <c r="N60" s="1247" t="s">
        <v>1819</v>
      </c>
      <c r="O60" s="992" t="s">
        <v>4042</v>
      </c>
      <c r="P60" s="992" t="s">
        <v>4043</v>
      </c>
      <c r="Q60" s="992"/>
      <c r="R60" s="992"/>
      <c r="S60" s="992"/>
      <c r="T60" s="992"/>
      <c r="U60" s="992"/>
      <c r="V60" s="992"/>
      <c r="W60" s="992"/>
      <c r="X60" s="1352"/>
      <c r="Y60" s="1332"/>
      <c r="Z60" s="1332"/>
      <c r="AA60" s="1332"/>
    </row>
    <row r="61" spans="2:27" ht="12" customHeight="1">
      <c r="B61" s="1388"/>
      <c r="C61" s="29" t="s">
        <v>3960</v>
      </c>
      <c r="D61" s="29">
        <v>0.1</v>
      </c>
      <c r="E61" s="29">
        <v>0.03</v>
      </c>
      <c r="F61" s="29">
        <v>0.3</v>
      </c>
      <c r="G61" s="1343" t="s">
        <v>3962</v>
      </c>
      <c r="H61" s="1343" t="s">
        <v>125</v>
      </c>
      <c r="I61" s="1332"/>
      <c r="J61" s="1387"/>
      <c r="K61" s="64" t="s">
        <v>4044</v>
      </c>
      <c r="L61" s="29">
        <v>1890</v>
      </c>
      <c r="M61" s="29" t="s">
        <v>139</v>
      </c>
      <c r="N61" s="1247" t="s">
        <v>1819</v>
      </c>
      <c r="O61" s="992"/>
      <c r="P61" s="992"/>
      <c r="Q61" s="992"/>
      <c r="R61" s="992"/>
      <c r="S61" s="992"/>
      <c r="T61" s="992"/>
      <c r="U61" s="992"/>
      <c r="V61" s="992"/>
      <c r="W61" s="992"/>
      <c r="X61" s="1352"/>
      <c r="Y61" s="1332"/>
      <c r="Z61" s="1332"/>
      <c r="AA61" s="1332"/>
    </row>
    <row r="62" spans="2:27" ht="12" customHeight="1">
      <c r="B62" s="1530" t="s">
        <v>4045</v>
      </c>
      <c r="C62" s="29" t="s">
        <v>443</v>
      </c>
      <c r="D62" s="29">
        <v>3.6</v>
      </c>
      <c r="E62" s="1332"/>
      <c r="F62" s="1332"/>
      <c r="G62" s="1343" t="s">
        <v>4046</v>
      </c>
      <c r="H62" s="29" t="s">
        <v>4047</v>
      </c>
      <c r="I62" s="1332"/>
      <c r="J62" s="1387"/>
      <c r="K62" s="64" t="s">
        <v>4048</v>
      </c>
      <c r="L62" s="29">
        <v>7140</v>
      </c>
      <c r="M62" s="29" t="s">
        <v>139</v>
      </c>
      <c r="N62" s="1247" t="s">
        <v>1819</v>
      </c>
      <c r="O62" s="992" t="s">
        <v>4040</v>
      </c>
      <c r="P62" s="992" t="s">
        <v>4049</v>
      </c>
      <c r="Q62" s="992" t="s">
        <v>87</v>
      </c>
      <c r="R62" s="992" t="s">
        <v>4050</v>
      </c>
      <c r="S62" s="992" t="s">
        <v>4051</v>
      </c>
      <c r="T62" s="992" t="s">
        <v>4052</v>
      </c>
      <c r="U62" s="992" t="s">
        <v>4053</v>
      </c>
      <c r="V62" s="992" t="s">
        <v>4054</v>
      </c>
      <c r="W62" s="992" t="s">
        <v>4055</v>
      </c>
      <c r="X62" s="1352"/>
      <c r="Y62" s="1332"/>
      <c r="Z62" s="1332"/>
      <c r="AA62" s="1332"/>
    </row>
    <row r="63" spans="2:27" ht="12" customHeight="1">
      <c r="B63" s="1387"/>
      <c r="C63" s="29" t="s">
        <v>439</v>
      </c>
      <c r="D63" s="29">
        <v>3.6</v>
      </c>
      <c r="E63" s="1332"/>
      <c r="F63" s="1332"/>
      <c r="G63" s="1343" t="s">
        <v>4046</v>
      </c>
      <c r="H63" s="29" t="s">
        <v>4047</v>
      </c>
      <c r="I63" s="1332"/>
      <c r="J63" s="1387"/>
      <c r="K63" s="64" t="s">
        <v>4056</v>
      </c>
      <c r="L63" s="29">
        <v>1640</v>
      </c>
      <c r="M63" s="29" t="s">
        <v>139</v>
      </c>
      <c r="N63" s="1247" t="s">
        <v>1819</v>
      </c>
      <c r="O63" s="992" t="s">
        <v>4057</v>
      </c>
      <c r="P63" s="992" t="s">
        <v>4058</v>
      </c>
      <c r="Q63" s="992">
        <v>0.10605468999999999</v>
      </c>
      <c r="R63" s="992">
        <v>0</v>
      </c>
      <c r="S63" s="992">
        <v>7.8571669999999996E-2</v>
      </c>
      <c r="T63" s="992">
        <v>8.6566229000000004E-4</v>
      </c>
      <c r="U63" s="992">
        <v>4.7198915000000002E-4</v>
      </c>
      <c r="V63" s="992">
        <v>2.6729919999999999E-3</v>
      </c>
      <c r="W63" s="992">
        <v>2.3472376E-2</v>
      </c>
      <c r="X63" s="1352"/>
      <c r="Y63" s="1332"/>
      <c r="Z63" s="1332"/>
      <c r="AA63" s="1332"/>
    </row>
    <row r="64" spans="2:27" ht="12" customHeight="1">
      <c r="B64" s="1387"/>
      <c r="C64" s="29" t="s">
        <v>565</v>
      </c>
      <c r="D64" s="29">
        <v>3.6</v>
      </c>
      <c r="E64" s="1332"/>
      <c r="F64" s="1332"/>
      <c r="G64" s="1343" t="s">
        <v>4046</v>
      </c>
      <c r="H64" s="29" t="s">
        <v>4047</v>
      </c>
      <c r="I64" s="1332"/>
      <c r="J64" s="1387"/>
      <c r="K64" s="64" t="s">
        <v>4059</v>
      </c>
      <c r="L64" s="29">
        <v>1400</v>
      </c>
      <c r="M64" s="29" t="s">
        <v>139</v>
      </c>
      <c r="N64" s="1247" t="s">
        <v>1819</v>
      </c>
      <c r="O64" s="992"/>
      <c r="P64" s="992"/>
      <c r="Q64" s="992"/>
      <c r="R64" s="992"/>
      <c r="S64" s="992"/>
      <c r="T64" s="992"/>
      <c r="U64" s="992"/>
      <c r="V64" s="992"/>
      <c r="W64" s="992"/>
      <c r="X64" s="1352"/>
      <c r="Y64" s="1332"/>
      <c r="Z64" s="1332"/>
      <c r="AA64" s="1332"/>
    </row>
    <row r="65" spans="2:27" ht="12" customHeight="1">
      <c r="B65" s="1387"/>
      <c r="C65" s="29" t="s">
        <v>3934</v>
      </c>
      <c r="D65" s="29">
        <v>3.6</v>
      </c>
      <c r="E65" s="1332"/>
      <c r="F65" s="1332"/>
      <c r="G65" s="1343" t="s">
        <v>4046</v>
      </c>
      <c r="H65" s="29" t="s">
        <v>4047</v>
      </c>
      <c r="I65" s="1332"/>
      <c r="J65" s="1387"/>
      <c r="K65" s="64" t="s">
        <v>4060</v>
      </c>
      <c r="L65" s="29">
        <v>5</v>
      </c>
      <c r="M65" s="29" t="s">
        <v>139</v>
      </c>
      <c r="N65" s="1247" t="s">
        <v>1819</v>
      </c>
      <c r="O65" s="992"/>
      <c r="P65" s="992"/>
      <c r="Q65" s="992"/>
      <c r="R65" s="992"/>
      <c r="S65" s="992"/>
      <c r="T65" s="992"/>
      <c r="U65" s="992"/>
      <c r="V65" s="992"/>
      <c r="W65" s="992"/>
      <c r="X65" s="1352"/>
      <c r="Y65" s="1332"/>
      <c r="Z65" s="1332"/>
      <c r="AA65" s="1332"/>
    </row>
    <row r="66" spans="2:27" ht="12" customHeight="1">
      <c r="B66" s="1387"/>
      <c r="C66" s="29" t="s">
        <v>3940</v>
      </c>
      <c r="D66" s="29">
        <v>3.6</v>
      </c>
      <c r="E66" s="1332"/>
      <c r="F66" s="1332"/>
      <c r="G66" s="1343" t="s">
        <v>4046</v>
      </c>
      <c r="H66" s="29" t="s">
        <v>4047</v>
      </c>
      <c r="I66" s="1332"/>
      <c r="J66" s="1387"/>
      <c r="K66" s="64" t="s">
        <v>4061</v>
      </c>
      <c r="L66" s="29">
        <v>146</v>
      </c>
      <c r="M66" s="29" t="s">
        <v>139</v>
      </c>
      <c r="N66" s="1247" t="s">
        <v>1819</v>
      </c>
      <c r="O66" s="992"/>
      <c r="P66" s="992"/>
      <c r="Q66" s="992"/>
      <c r="R66" s="992"/>
      <c r="S66" s="992"/>
      <c r="T66" s="992"/>
      <c r="U66" s="992"/>
      <c r="V66" s="992"/>
      <c r="W66" s="992"/>
      <c r="X66" s="1352"/>
      <c r="Y66" s="1332"/>
      <c r="Z66" s="1332"/>
      <c r="AA66" s="1332"/>
    </row>
    <row r="67" spans="2:27" ht="12" customHeight="1">
      <c r="B67" s="1387"/>
      <c r="C67" s="29" t="s">
        <v>3939</v>
      </c>
      <c r="D67" s="29">
        <v>3.6</v>
      </c>
      <c r="E67" s="1332"/>
      <c r="F67" s="1332"/>
      <c r="G67" s="1343" t="s">
        <v>4046</v>
      </c>
      <c r="H67" s="29" t="s">
        <v>4047</v>
      </c>
      <c r="I67" s="1332"/>
      <c r="J67" s="1387"/>
      <c r="K67" s="64" t="s">
        <v>1801</v>
      </c>
      <c r="L67" s="29">
        <v>1810</v>
      </c>
      <c r="M67" s="29" t="s">
        <v>139</v>
      </c>
      <c r="N67" s="1247" t="s">
        <v>1819</v>
      </c>
      <c r="O67" s="992" t="s">
        <v>4017</v>
      </c>
      <c r="P67" s="992" t="s">
        <v>4018</v>
      </c>
      <c r="Q67" s="992"/>
      <c r="R67" s="992"/>
      <c r="S67" s="992"/>
      <c r="T67" s="992"/>
      <c r="U67" s="992"/>
      <c r="V67" s="992"/>
      <c r="W67" s="992"/>
      <c r="X67" s="1352"/>
      <c r="Y67" s="1332"/>
      <c r="Z67" s="1332"/>
      <c r="AA67" s="1332"/>
    </row>
    <row r="68" spans="2:27" ht="12" customHeight="1">
      <c r="B68" s="1388"/>
      <c r="C68" s="29" t="s">
        <v>448</v>
      </c>
      <c r="D68" s="29">
        <v>9.1374999999999993</v>
      </c>
      <c r="E68" s="1332"/>
      <c r="F68" s="1332"/>
      <c r="G68" s="1343" t="s">
        <v>4046</v>
      </c>
      <c r="H68" s="29" t="s">
        <v>4047</v>
      </c>
      <c r="I68" s="1332"/>
      <c r="J68" s="1387"/>
      <c r="K68" s="64" t="s">
        <v>4062</v>
      </c>
      <c r="L68" s="29">
        <v>77</v>
      </c>
      <c r="M68" s="29" t="s">
        <v>139</v>
      </c>
      <c r="N68" s="1247" t="s">
        <v>1819</v>
      </c>
      <c r="O68" s="992" t="s">
        <v>4020</v>
      </c>
      <c r="P68" s="992" t="s">
        <v>4021</v>
      </c>
      <c r="Q68" s="992"/>
      <c r="R68" s="992"/>
      <c r="S68" s="992"/>
      <c r="T68" s="992"/>
      <c r="U68" s="992"/>
      <c r="V68" s="992"/>
      <c r="W68" s="992"/>
      <c r="X68" s="1352"/>
      <c r="Y68" s="1332"/>
      <c r="Z68" s="1332"/>
      <c r="AA68" s="1332"/>
    </row>
    <row r="69" spans="2:27" ht="12" customHeight="1">
      <c r="B69" s="1588" t="s">
        <v>4063</v>
      </c>
      <c r="C69" s="29" t="s">
        <v>443</v>
      </c>
      <c r="D69" s="29">
        <v>3.6</v>
      </c>
      <c r="E69" s="1332"/>
      <c r="F69" s="1332"/>
      <c r="G69" s="1343" t="s">
        <v>4046</v>
      </c>
      <c r="H69" s="29" t="s">
        <v>4047</v>
      </c>
      <c r="I69" s="1332"/>
      <c r="J69" s="1387"/>
      <c r="K69" s="64" t="s">
        <v>4064</v>
      </c>
      <c r="L69" s="29">
        <v>609</v>
      </c>
      <c r="M69" s="29" t="s">
        <v>139</v>
      </c>
      <c r="N69" s="1247" t="s">
        <v>1819</v>
      </c>
      <c r="O69" s="992" t="s">
        <v>4023</v>
      </c>
      <c r="P69" s="992" t="s">
        <v>4065</v>
      </c>
      <c r="Q69" s="992"/>
      <c r="R69" s="992"/>
      <c r="S69" s="992"/>
      <c r="T69" s="992"/>
      <c r="U69" s="992"/>
      <c r="V69" s="992"/>
      <c r="W69" s="992"/>
      <c r="X69" s="1352"/>
      <c r="Y69" s="1332"/>
      <c r="Z69" s="1332"/>
      <c r="AA69" s="1332"/>
    </row>
    <row r="70" spans="2:27" ht="12" customHeight="1">
      <c r="B70" s="1387"/>
      <c r="C70" s="29" t="s">
        <v>453</v>
      </c>
      <c r="D70" s="29">
        <v>3.6</v>
      </c>
      <c r="E70" s="1332"/>
      <c r="F70" s="1332"/>
      <c r="G70" s="1343" t="s">
        <v>4046</v>
      </c>
      <c r="H70" s="29" t="s">
        <v>4047</v>
      </c>
      <c r="I70" s="1332"/>
      <c r="J70" s="1387"/>
      <c r="K70" s="64" t="s">
        <v>4066</v>
      </c>
      <c r="L70" s="29">
        <v>725</v>
      </c>
      <c r="M70" s="29" t="s">
        <v>139</v>
      </c>
      <c r="N70" s="1247" t="s">
        <v>1819</v>
      </c>
      <c r="O70" s="992" t="s">
        <v>4026</v>
      </c>
      <c r="P70" s="992" t="s">
        <v>4027</v>
      </c>
      <c r="Q70" s="992"/>
      <c r="R70" s="992"/>
      <c r="S70" s="992"/>
      <c r="T70" s="992"/>
      <c r="U70" s="992"/>
      <c r="V70" s="992"/>
      <c r="W70" s="992"/>
      <c r="X70" s="1352"/>
      <c r="Y70" s="1332"/>
      <c r="Z70" s="1332"/>
      <c r="AA70" s="1332"/>
    </row>
    <row r="71" spans="2:27" ht="12" customHeight="1">
      <c r="B71" s="1387"/>
      <c r="C71" s="29" t="s">
        <v>448</v>
      </c>
      <c r="D71" s="29">
        <v>9.1374999999999993</v>
      </c>
      <c r="E71" s="1332"/>
      <c r="F71" s="1332"/>
      <c r="G71" s="1343" t="s">
        <v>4046</v>
      </c>
      <c r="H71" s="29" t="s">
        <v>4047</v>
      </c>
      <c r="I71" s="1332"/>
      <c r="J71" s="1387"/>
      <c r="K71" s="64" t="s">
        <v>4067</v>
      </c>
      <c r="L71" s="29">
        <v>2310</v>
      </c>
      <c r="M71" s="29" t="s">
        <v>139</v>
      </c>
      <c r="N71" s="1247" t="s">
        <v>1819</v>
      </c>
      <c r="O71" s="992" t="s">
        <v>4029</v>
      </c>
      <c r="P71" s="992" t="s">
        <v>4030</v>
      </c>
      <c r="Q71" s="992"/>
      <c r="R71" s="992"/>
      <c r="S71" s="992"/>
      <c r="T71" s="992"/>
      <c r="U71" s="992"/>
      <c r="V71" s="992"/>
      <c r="W71" s="992"/>
      <c r="X71" s="1352"/>
      <c r="Y71" s="1332"/>
      <c r="Z71" s="1332"/>
      <c r="AA71" s="1332"/>
    </row>
    <row r="72" spans="2:27" ht="12" customHeight="1">
      <c r="B72" s="1387"/>
      <c r="C72" s="29" t="s">
        <v>3934</v>
      </c>
      <c r="D72" s="29">
        <v>3.6</v>
      </c>
      <c r="E72" s="1332"/>
      <c r="F72" s="1332"/>
      <c r="G72" s="1343" t="s">
        <v>4046</v>
      </c>
      <c r="H72" s="29" t="s">
        <v>4047</v>
      </c>
      <c r="I72" s="1332"/>
      <c r="J72" s="1387"/>
      <c r="K72" s="64" t="s">
        <v>4068</v>
      </c>
      <c r="L72" s="29">
        <v>122</v>
      </c>
      <c r="M72" s="29" t="s">
        <v>139</v>
      </c>
      <c r="N72" s="1247" t="s">
        <v>1819</v>
      </c>
      <c r="O72" s="992" t="s">
        <v>4032</v>
      </c>
      <c r="P72" s="992" t="s">
        <v>4033</v>
      </c>
      <c r="Q72" s="992"/>
      <c r="R72" s="992"/>
      <c r="S72" s="992"/>
      <c r="T72" s="992"/>
      <c r="U72" s="992"/>
      <c r="V72" s="992"/>
      <c r="W72" s="992"/>
      <c r="X72" s="1352"/>
      <c r="Y72" s="1332"/>
      <c r="Z72" s="1332"/>
      <c r="AA72" s="1332"/>
    </row>
    <row r="73" spans="2:27" ht="12" customHeight="1">
      <c r="B73" s="1387"/>
      <c r="C73" s="29" t="s">
        <v>3939</v>
      </c>
      <c r="D73" s="29">
        <v>3.6</v>
      </c>
      <c r="E73" s="1332"/>
      <c r="F73" s="1332"/>
      <c r="G73" s="1343" t="s">
        <v>4046</v>
      </c>
      <c r="H73" s="29" t="s">
        <v>4047</v>
      </c>
      <c r="I73" s="1332"/>
      <c r="J73" s="1387"/>
      <c r="K73" s="64" t="s">
        <v>4069</v>
      </c>
      <c r="L73" s="29">
        <v>595</v>
      </c>
      <c r="M73" s="29" t="s">
        <v>139</v>
      </c>
      <c r="N73" s="1247" t="s">
        <v>1819</v>
      </c>
      <c r="O73" s="992" t="s">
        <v>4035</v>
      </c>
      <c r="P73" s="992" t="s">
        <v>127</v>
      </c>
      <c r="Q73" s="992"/>
      <c r="R73" s="992"/>
      <c r="S73" s="992"/>
      <c r="T73" s="992"/>
      <c r="U73" s="992"/>
      <c r="V73" s="992"/>
      <c r="W73" s="992"/>
      <c r="X73" s="1352"/>
      <c r="Y73" s="1332"/>
      <c r="Z73" s="1332"/>
      <c r="AA73" s="1332"/>
    </row>
    <row r="74" spans="2:27" ht="12" customHeight="1">
      <c r="B74" s="1388"/>
      <c r="C74" s="29" t="s">
        <v>3940</v>
      </c>
      <c r="D74" s="29">
        <v>3.6</v>
      </c>
      <c r="E74" s="1353"/>
      <c r="F74" s="1353"/>
      <c r="G74" s="1354" t="s">
        <v>4046</v>
      </c>
      <c r="H74" s="29" t="s">
        <v>4047</v>
      </c>
      <c r="I74" s="1332"/>
      <c r="J74" s="1387"/>
      <c r="K74" s="64" t="s">
        <v>4070</v>
      </c>
      <c r="L74" s="29">
        <v>151</v>
      </c>
      <c r="M74" s="29" t="s">
        <v>139</v>
      </c>
      <c r="N74" s="1247" t="s">
        <v>1819</v>
      </c>
      <c r="O74" s="992" t="s">
        <v>4037</v>
      </c>
      <c r="P74" s="992" t="s">
        <v>127</v>
      </c>
      <c r="Q74" s="992"/>
      <c r="R74" s="992"/>
      <c r="S74" s="992"/>
      <c r="T74" s="992"/>
      <c r="U74" s="992"/>
      <c r="V74" s="992"/>
      <c r="W74" s="992"/>
      <c r="X74" s="1352"/>
      <c r="Y74" s="1332"/>
      <c r="Z74" s="1332"/>
      <c r="AA74" s="1332"/>
    </row>
    <row r="75" spans="2:27" ht="12" customHeight="1">
      <c r="B75" s="1332"/>
      <c r="C75" s="1332"/>
      <c r="D75" s="1332"/>
      <c r="E75" s="1350"/>
      <c r="F75" s="1350"/>
      <c r="G75" s="1350"/>
      <c r="H75" s="1332"/>
      <c r="I75" s="1332"/>
      <c r="J75" s="1387"/>
      <c r="K75" s="64" t="s">
        <v>4071</v>
      </c>
      <c r="L75" s="29">
        <v>17200</v>
      </c>
      <c r="M75" s="29" t="s">
        <v>139</v>
      </c>
      <c r="N75" s="1247" t="s">
        <v>1819</v>
      </c>
      <c r="O75" s="992" t="s">
        <v>4039</v>
      </c>
      <c r="P75" s="992" t="s">
        <v>4040</v>
      </c>
      <c r="Q75" s="992"/>
      <c r="R75" s="992"/>
      <c r="S75" s="992"/>
      <c r="T75" s="992"/>
      <c r="U75" s="992"/>
      <c r="V75" s="992"/>
      <c r="W75" s="992"/>
      <c r="X75" s="1352"/>
      <c r="Y75" s="1332"/>
      <c r="Z75" s="1332"/>
      <c r="AA75" s="1332"/>
    </row>
    <row r="76" spans="2:27" ht="12" customHeight="1">
      <c r="B76" s="1332"/>
      <c r="C76" s="1332"/>
      <c r="D76" s="1332"/>
      <c r="E76" s="1332"/>
      <c r="F76" s="1332"/>
      <c r="G76" s="1332"/>
      <c r="H76" s="1332"/>
      <c r="I76" s="1332"/>
      <c r="J76" s="1387"/>
      <c r="K76" s="64" t="s">
        <v>4072</v>
      </c>
      <c r="L76" s="29">
        <v>7500</v>
      </c>
      <c r="M76" s="29" t="s">
        <v>139</v>
      </c>
      <c r="N76" s="1247" t="s">
        <v>1819</v>
      </c>
      <c r="O76" s="992" t="s">
        <v>4042</v>
      </c>
      <c r="P76" s="992" t="s">
        <v>4043</v>
      </c>
      <c r="Q76" s="992"/>
      <c r="R76" s="992"/>
      <c r="S76" s="992"/>
      <c r="T76" s="992"/>
      <c r="U76" s="992"/>
      <c r="V76" s="992"/>
      <c r="W76" s="992"/>
      <c r="X76" s="1352"/>
      <c r="Y76" s="1332"/>
      <c r="Z76" s="1332"/>
      <c r="AA76" s="1332"/>
    </row>
    <row r="77" spans="2:27" ht="12" customHeight="1">
      <c r="B77" s="1332"/>
      <c r="C77" s="1332"/>
      <c r="D77" s="1332"/>
      <c r="E77" s="1332"/>
      <c r="F77" s="1332"/>
      <c r="G77" s="1332"/>
      <c r="H77" s="1332"/>
      <c r="I77" s="1332"/>
      <c r="J77" s="1387"/>
      <c r="K77" s="64" t="s">
        <v>4073</v>
      </c>
      <c r="L77" s="29">
        <v>17700</v>
      </c>
      <c r="M77" s="29" t="s">
        <v>139</v>
      </c>
      <c r="N77" s="1247" t="s">
        <v>1819</v>
      </c>
      <c r="O77" s="992"/>
      <c r="P77" s="992"/>
      <c r="Q77" s="992"/>
      <c r="R77" s="992"/>
      <c r="S77" s="992"/>
      <c r="T77" s="992"/>
      <c r="U77" s="992"/>
      <c r="V77" s="992"/>
      <c r="W77" s="992"/>
      <c r="X77" s="1352"/>
      <c r="Y77" s="1332"/>
      <c r="Z77" s="1332"/>
      <c r="AA77" s="1332"/>
    </row>
    <row r="78" spans="2:27" ht="12" customHeight="1">
      <c r="B78" s="1332"/>
      <c r="C78" s="1332"/>
      <c r="D78" s="1332"/>
      <c r="E78" s="1332"/>
      <c r="F78" s="1332"/>
      <c r="G78" s="1332"/>
      <c r="H78" s="1332"/>
      <c r="I78" s="1332"/>
      <c r="J78" s="1387"/>
      <c r="K78" s="64" t="s">
        <v>4074</v>
      </c>
      <c r="L78" s="29">
        <v>17340</v>
      </c>
      <c r="M78" s="29" t="s">
        <v>139</v>
      </c>
      <c r="N78" s="1247" t="s">
        <v>1819</v>
      </c>
      <c r="O78" s="992" t="s">
        <v>4040</v>
      </c>
      <c r="P78" s="992" t="s">
        <v>4049</v>
      </c>
      <c r="Q78" s="992" t="s">
        <v>87</v>
      </c>
      <c r="R78" s="992" t="s">
        <v>1565</v>
      </c>
      <c r="S78" s="992" t="s">
        <v>4075</v>
      </c>
      <c r="T78" s="992" t="s">
        <v>4076</v>
      </c>
      <c r="U78" s="992"/>
      <c r="V78" s="992"/>
      <c r="W78" s="992"/>
      <c r="X78" s="1352"/>
      <c r="Y78" s="1332"/>
      <c r="Z78" s="1332"/>
      <c r="AA78" s="1332"/>
    </row>
    <row r="79" spans="2:27" ht="12" customHeight="1">
      <c r="B79" s="1332"/>
      <c r="C79" s="1332"/>
      <c r="D79" s="1332"/>
      <c r="E79" s="1332"/>
      <c r="F79" s="1332"/>
      <c r="G79" s="1332"/>
      <c r="H79" s="1332"/>
      <c r="I79" s="1332"/>
      <c r="J79" s="1387"/>
      <c r="K79" s="64" t="s">
        <v>4077</v>
      </c>
      <c r="L79" s="29">
        <v>14900</v>
      </c>
      <c r="M79" s="29" t="s">
        <v>139</v>
      </c>
      <c r="N79" s="1247" t="s">
        <v>1819</v>
      </c>
      <c r="O79" s="992" t="s">
        <v>4057</v>
      </c>
      <c r="P79" s="992" t="s">
        <v>4058</v>
      </c>
      <c r="Q79" s="992">
        <v>0.56577783000000004</v>
      </c>
      <c r="R79" s="992">
        <v>0</v>
      </c>
      <c r="S79" s="992">
        <v>3.9131279999999997E-2</v>
      </c>
      <c r="T79" s="992">
        <v>0.52664655000000005</v>
      </c>
      <c r="U79" s="992"/>
      <c r="V79" s="992"/>
      <c r="W79" s="992"/>
      <c r="X79" s="1352"/>
      <c r="Y79" s="1332"/>
      <c r="Z79" s="1332"/>
      <c r="AA79" s="1332"/>
    </row>
    <row r="80" spans="2:27" ht="12" customHeight="1">
      <c r="B80" s="1332"/>
      <c r="C80" s="1332"/>
      <c r="D80" s="1332"/>
      <c r="E80" s="1332"/>
      <c r="F80" s="1332"/>
      <c r="G80" s="1332"/>
      <c r="H80" s="1332"/>
      <c r="I80" s="1332"/>
      <c r="J80" s="1387"/>
      <c r="K80" s="64" t="s">
        <v>4078</v>
      </c>
      <c r="L80" s="29">
        <v>6320</v>
      </c>
      <c r="M80" s="29" t="s">
        <v>139</v>
      </c>
      <c r="N80" s="1247" t="s">
        <v>1819</v>
      </c>
      <c r="O80" s="992"/>
      <c r="P80" s="992"/>
      <c r="Q80" s="992"/>
      <c r="R80" s="992"/>
      <c r="S80" s="992"/>
      <c r="T80" s="992"/>
      <c r="U80" s="992"/>
      <c r="V80" s="992"/>
      <c r="W80" s="992"/>
      <c r="X80" s="1352"/>
      <c r="Y80" s="1332"/>
      <c r="Z80" s="1332"/>
      <c r="AA80" s="1332"/>
    </row>
    <row r="81" spans="2:27" ht="12" customHeight="1">
      <c r="B81" s="87"/>
      <c r="C81" s="1332"/>
      <c r="D81" s="1332"/>
      <c r="E81" s="1332"/>
      <c r="F81" s="1332"/>
      <c r="G81" s="1332"/>
      <c r="H81" s="1332"/>
      <c r="I81" s="1332"/>
      <c r="J81" s="1387"/>
      <c r="K81" s="64" t="s">
        <v>4079</v>
      </c>
      <c r="L81" s="29">
        <v>756</v>
      </c>
      <c r="M81" s="29" t="s">
        <v>139</v>
      </c>
      <c r="N81" s="1247" t="s">
        <v>1819</v>
      </c>
      <c r="O81" s="992"/>
      <c r="P81" s="992"/>
      <c r="Q81" s="992"/>
      <c r="R81" s="992"/>
      <c r="S81" s="992"/>
      <c r="T81" s="992"/>
      <c r="U81" s="992"/>
      <c r="V81" s="992"/>
      <c r="W81" s="992"/>
      <c r="X81" s="1352"/>
      <c r="Y81" s="1332"/>
      <c r="Z81" s="1332"/>
      <c r="AA81" s="1332"/>
    </row>
    <row r="82" spans="2:27" ht="12" customHeight="1">
      <c r="B82" s="1332"/>
      <c r="C82" s="1332"/>
      <c r="D82" s="1332"/>
      <c r="E82" s="1332"/>
      <c r="F82" s="1332"/>
      <c r="G82" s="1332"/>
      <c r="H82" s="1332"/>
      <c r="I82" s="1332"/>
      <c r="J82" s="1387"/>
      <c r="K82" s="64" t="s">
        <v>4080</v>
      </c>
      <c r="L82" s="29">
        <v>350</v>
      </c>
      <c r="M82" s="29" t="s">
        <v>139</v>
      </c>
      <c r="N82" s="1247" t="s">
        <v>1819</v>
      </c>
      <c r="O82" s="992"/>
      <c r="P82" s="992"/>
      <c r="Q82" s="992"/>
      <c r="R82" s="992"/>
      <c r="S82" s="992"/>
      <c r="T82" s="992"/>
      <c r="U82" s="992"/>
      <c r="V82" s="992"/>
      <c r="W82" s="992"/>
      <c r="X82" s="1352"/>
      <c r="Y82" s="1332"/>
      <c r="Z82" s="1332"/>
      <c r="AA82" s="1332"/>
    </row>
    <row r="83" spans="2:27" ht="12" customHeight="1">
      <c r="B83" s="1332"/>
      <c r="C83" s="1332"/>
      <c r="D83" s="1332"/>
      <c r="E83" s="1332"/>
      <c r="F83" s="1332"/>
      <c r="G83" s="1332"/>
      <c r="H83" s="1332"/>
      <c r="I83" s="1332"/>
      <c r="J83" s="1387"/>
      <c r="K83" s="64" t="s">
        <v>4081</v>
      </c>
      <c r="L83" s="29">
        <v>708</v>
      </c>
      <c r="M83" s="29" t="s">
        <v>139</v>
      </c>
      <c r="N83" s="1247" t="s">
        <v>1819</v>
      </c>
      <c r="O83" s="992" t="s">
        <v>4017</v>
      </c>
      <c r="P83" s="992" t="s">
        <v>4018</v>
      </c>
      <c r="Q83" s="992"/>
      <c r="R83" s="992"/>
      <c r="S83" s="992"/>
      <c r="T83" s="992"/>
      <c r="U83" s="992"/>
      <c r="V83" s="992"/>
      <c r="W83" s="992"/>
      <c r="X83" s="1352"/>
      <c r="Y83" s="1332"/>
      <c r="Z83" s="1332"/>
      <c r="AA83" s="1332"/>
    </row>
    <row r="84" spans="2:27" ht="12" customHeight="1">
      <c r="B84" s="1332"/>
      <c r="C84" s="1332"/>
      <c r="D84" s="1332"/>
      <c r="E84" s="1332"/>
      <c r="F84" s="1332"/>
      <c r="G84" s="1332"/>
      <c r="H84" s="1332"/>
      <c r="I84" s="1332"/>
      <c r="J84" s="1387"/>
      <c r="K84" s="64" t="s">
        <v>4082</v>
      </c>
      <c r="L84" s="29">
        <v>659</v>
      </c>
      <c r="M84" s="29" t="s">
        <v>139</v>
      </c>
      <c r="N84" s="1247" t="s">
        <v>1819</v>
      </c>
      <c r="O84" s="992" t="s">
        <v>4020</v>
      </c>
      <c r="P84" s="992" t="s">
        <v>4021</v>
      </c>
      <c r="Q84" s="992"/>
      <c r="R84" s="992"/>
      <c r="S84" s="992"/>
      <c r="T84" s="992"/>
      <c r="U84" s="992"/>
      <c r="V84" s="992"/>
      <c r="W84" s="992"/>
      <c r="X84" s="1352"/>
      <c r="Y84" s="1332"/>
      <c r="Z84" s="1332"/>
      <c r="AA84" s="1332"/>
    </row>
    <row r="85" spans="2:27" ht="12" customHeight="1">
      <c r="B85" s="1332"/>
      <c r="C85" s="1332"/>
      <c r="D85" s="1332"/>
      <c r="E85" s="1332"/>
      <c r="F85" s="1332"/>
      <c r="G85" s="1332"/>
      <c r="H85" s="1332"/>
      <c r="I85" s="1332"/>
      <c r="J85" s="1387"/>
      <c r="K85" s="64" t="s">
        <v>4083</v>
      </c>
      <c r="L85" s="29">
        <v>359</v>
      </c>
      <c r="M85" s="29" t="s">
        <v>139</v>
      </c>
      <c r="N85" s="1247" t="s">
        <v>1819</v>
      </c>
      <c r="O85" s="992" t="s">
        <v>4023</v>
      </c>
      <c r="P85" s="992" t="s">
        <v>4084</v>
      </c>
      <c r="Q85" s="992"/>
      <c r="R85" s="992"/>
      <c r="S85" s="992"/>
      <c r="T85" s="992"/>
      <c r="U85" s="992"/>
      <c r="V85" s="992"/>
      <c r="W85" s="992"/>
      <c r="X85" s="1352"/>
      <c r="Y85" s="1332"/>
      <c r="Z85" s="1332"/>
      <c r="AA85" s="1332"/>
    </row>
    <row r="86" spans="2:27" ht="12" customHeight="1">
      <c r="B86" s="1332"/>
      <c r="C86" s="1332"/>
      <c r="D86" s="1332"/>
      <c r="E86" s="1332"/>
      <c r="F86" s="1332"/>
      <c r="G86" s="1332"/>
      <c r="H86" s="1332"/>
      <c r="I86" s="1332"/>
      <c r="J86" s="1387"/>
      <c r="K86" s="64" t="s">
        <v>4085</v>
      </c>
      <c r="L86" s="29">
        <v>575</v>
      </c>
      <c r="M86" s="29" t="s">
        <v>139</v>
      </c>
      <c r="N86" s="1247" t="s">
        <v>1819</v>
      </c>
      <c r="O86" s="992" t="s">
        <v>4026</v>
      </c>
      <c r="P86" s="992" t="s">
        <v>4027</v>
      </c>
      <c r="Q86" s="992"/>
      <c r="R86" s="992"/>
      <c r="S86" s="992"/>
      <c r="T86" s="992"/>
      <c r="U86" s="992"/>
      <c r="V86" s="992"/>
      <c r="W86" s="992"/>
      <c r="X86" s="1352"/>
      <c r="Y86" s="1332"/>
      <c r="Z86" s="1332"/>
      <c r="AA86" s="1332"/>
    </row>
    <row r="87" spans="2:27" ht="12" customHeight="1">
      <c r="B87" s="1332"/>
      <c r="C87" s="1332"/>
      <c r="D87" s="1332"/>
      <c r="E87" s="1332"/>
      <c r="F87" s="1332"/>
      <c r="G87" s="1332"/>
      <c r="H87" s="1332"/>
      <c r="I87" s="1332"/>
      <c r="J87" s="1387"/>
      <c r="K87" s="64" t="s">
        <v>4086</v>
      </c>
      <c r="L87" s="29">
        <v>580</v>
      </c>
      <c r="M87" s="29" t="s">
        <v>139</v>
      </c>
      <c r="N87" s="1247" t="s">
        <v>1819</v>
      </c>
      <c r="O87" s="992" t="s">
        <v>4029</v>
      </c>
      <c r="P87" s="992" t="s">
        <v>4030</v>
      </c>
      <c r="Q87" s="992"/>
      <c r="R87" s="992"/>
      <c r="S87" s="992"/>
      <c r="T87" s="992"/>
      <c r="U87" s="992"/>
      <c r="V87" s="992"/>
      <c r="W87" s="992"/>
      <c r="X87" s="1352"/>
      <c r="Y87" s="1332"/>
      <c r="Z87" s="1332"/>
      <c r="AA87" s="1332"/>
    </row>
    <row r="88" spans="2:27" ht="12" customHeight="1">
      <c r="B88" s="1332"/>
      <c r="C88" s="1332"/>
      <c r="D88" s="1332"/>
      <c r="E88" s="1332"/>
      <c r="F88" s="1332"/>
      <c r="G88" s="1332"/>
      <c r="H88" s="1332"/>
      <c r="I88" s="1332"/>
      <c r="J88" s="1387"/>
      <c r="K88" s="64" t="s">
        <v>4087</v>
      </c>
      <c r="L88" s="29">
        <v>110</v>
      </c>
      <c r="M88" s="29" t="s">
        <v>139</v>
      </c>
      <c r="N88" s="1247" t="s">
        <v>1819</v>
      </c>
      <c r="O88" s="992" t="s">
        <v>4032</v>
      </c>
      <c r="P88" s="992" t="s">
        <v>4033</v>
      </c>
      <c r="Q88" s="992"/>
      <c r="R88" s="992"/>
      <c r="S88" s="992"/>
      <c r="T88" s="992"/>
      <c r="U88" s="992"/>
      <c r="V88" s="992"/>
      <c r="W88" s="992"/>
      <c r="X88" s="1352"/>
      <c r="Y88" s="1332"/>
      <c r="Z88" s="1332"/>
      <c r="AA88" s="1332"/>
    </row>
    <row r="89" spans="2:27" ht="12" customHeight="1">
      <c r="B89" s="1332"/>
      <c r="C89" s="1332"/>
      <c r="D89" s="1332"/>
      <c r="E89" s="1332"/>
      <c r="F89" s="1332"/>
      <c r="G89" s="1332"/>
      <c r="H89" s="1332"/>
      <c r="I89" s="1332"/>
      <c r="J89" s="1387"/>
      <c r="K89" s="64" t="s">
        <v>4088</v>
      </c>
      <c r="L89" s="29">
        <v>297</v>
      </c>
      <c r="M89" s="29" t="s">
        <v>139</v>
      </c>
      <c r="N89" s="1247" t="s">
        <v>1819</v>
      </c>
      <c r="O89" s="992" t="s">
        <v>4035</v>
      </c>
      <c r="P89" s="992" t="s">
        <v>127</v>
      </c>
      <c r="Q89" s="992"/>
      <c r="R89" s="992"/>
      <c r="S89" s="992"/>
      <c r="T89" s="992"/>
      <c r="U89" s="992"/>
      <c r="V89" s="992"/>
      <c r="W89" s="992"/>
      <c r="X89" s="1352"/>
      <c r="Y89" s="1332"/>
      <c r="Z89" s="1332"/>
      <c r="AA89" s="1332"/>
    </row>
    <row r="90" spans="2:27" ht="12" customHeight="1">
      <c r="B90" s="1332"/>
      <c r="C90" s="1332"/>
      <c r="D90" s="1332"/>
      <c r="E90" s="1332"/>
      <c r="F90" s="1332"/>
      <c r="G90" s="1332"/>
      <c r="H90" s="1332"/>
      <c r="I90" s="1332"/>
      <c r="J90" s="1387"/>
      <c r="K90" s="64" t="s">
        <v>4089</v>
      </c>
      <c r="L90" s="29">
        <v>59</v>
      </c>
      <c r="M90" s="29" t="s">
        <v>139</v>
      </c>
      <c r="N90" s="1247" t="s">
        <v>1819</v>
      </c>
      <c r="O90" s="992" t="s">
        <v>4037</v>
      </c>
      <c r="P90" s="992" t="s">
        <v>127</v>
      </c>
      <c r="Q90" s="992"/>
      <c r="R90" s="992"/>
      <c r="S90" s="992"/>
      <c r="T90" s="992"/>
      <c r="U90" s="992"/>
      <c r="V90" s="992"/>
      <c r="W90" s="992"/>
      <c r="X90" s="1352"/>
      <c r="Y90" s="1332"/>
      <c r="Z90" s="1332"/>
      <c r="AA90" s="1332"/>
    </row>
    <row r="91" spans="2:27" ht="12" customHeight="1">
      <c r="B91" s="1332"/>
      <c r="C91" s="1332"/>
      <c r="D91" s="1332"/>
      <c r="E91" s="1332"/>
      <c r="F91" s="1332"/>
      <c r="G91" s="1332"/>
      <c r="H91" s="1332"/>
      <c r="I91" s="1332"/>
      <c r="J91" s="1387"/>
      <c r="K91" s="64" t="s">
        <v>4090</v>
      </c>
      <c r="L91" s="29">
        <v>1870</v>
      </c>
      <c r="M91" s="29" t="s">
        <v>139</v>
      </c>
      <c r="N91" s="1247" t="s">
        <v>1819</v>
      </c>
      <c r="O91" s="992" t="s">
        <v>4039</v>
      </c>
      <c r="P91" s="992" t="s">
        <v>4040</v>
      </c>
      <c r="Q91" s="992"/>
      <c r="R91" s="992"/>
      <c r="S91" s="992"/>
      <c r="T91" s="992"/>
      <c r="U91" s="992"/>
      <c r="V91" s="992"/>
      <c r="W91" s="992"/>
      <c r="X91" s="1352"/>
      <c r="Y91" s="1332"/>
      <c r="Z91" s="1332"/>
      <c r="AA91" s="1332"/>
    </row>
    <row r="92" spans="2:27" ht="12" customHeight="1">
      <c r="B92" s="1332"/>
      <c r="C92" s="1332"/>
      <c r="D92" s="1332"/>
      <c r="E92" s="1332"/>
      <c r="F92" s="1332"/>
      <c r="G92" s="1332"/>
      <c r="H92" s="1332"/>
      <c r="I92" s="1332"/>
      <c r="J92" s="1387"/>
      <c r="K92" s="64" t="s">
        <v>4091</v>
      </c>
      <c r="L92" s="29">
        <v>2800</v>
      </c>
      <c r="M92" s="29" t="s">
        <v>139</v>
      </c>
      <c r="N92" s="1247" t="s">
        <v>1819</v>
      </c>
      <c r="O92" s="992" t="s">
        <v>4042</v>
      </c>
      <c r="P92" s="992" t="s">
        <v>4043</v>
      </c>
      <c r="Q92" s="992"/>
      <c r="R92" s="992"/>
      <c r="S92" s="992"/>
      <c r="T92" s="992"/>
      <c r="U92" s="992"/>
      <c r="V92" s="992"/>
      <c r="W92" s="992"/>
      <c r="X92" s="1352"/>
      <c r="Y92" s="1332"/>
      <c r="Z92" s="1332"/>
      <c r="AA92" s="1332"/>
    </row>
    <row r="93" spans="2:27" ht="12" customHeight="1">
      <c r="B93" s="1332"/>
      <c r="C93" s="1332"/>
      <c r="D93" s="1332"/>
      <c r="E93" s="1332"/>
      <c r="F93" s="1332"/>
      <c r="G93" s="1332"/>
      <c r="H93" s="1332"/>
      <c r="I93" s="1332"/>
      <c r="J93" s="1387"/>
      <c r="K93" s="64" t="s">
        <v>4092</v>
      </c>
      <c r="L93" s="29">
        <v>1500</v>
      </c>
      <c r="M93" s="29" t="s">
        <v>139</v>
      </c>
      <c r="N93" s="1247" t="s">
        <v>1819</v>
      </c>
      <c r="O93" s="992"/>
      <c r="P93" s="992"/>
      <c r="Q93" s="992"/>
      <c r="R93" s="992"/>
      <c r="S93" s="992"/>
      <c r="T93" s="992"/>
      <c r="U93" s="992"/>
      <c r="V93" s="992"/>
      <c r="W93" s="992"/>
      <c r="X93" s="1352"/>
      <c r="Y93" s="1332"/>
      <c r="Z93" s="1332"/>
      <c r="AA93" s="1332"/>
    </row>
    <row r="94" spans="2:27" ht="12" customHeight="1">
      <c r="B94" s="1332"/>
      <c r="C94" s="1332"/>
      <c r="D94" s="1332"/>
      <c r="E94" s="1332"/>
      <c r="F94" s="1332"/>
      <c r="G94" s="1332"/>
      <c r="H94" s="1332"/>
      <c r="I94" s="1332"/>
      <c r="J94" s="1387"/>
      <c r="K94" s="64" t="s">
        <v>4093</v>
      </c>
      <c r="L94" s="29">
        <v>10300</v>
      </c>
      <c r="M94" s="29" t="s">
        <v>139</v>
      </c>
      <c r="N94" s="1247" t="s">
        <v>1819</v>
      </c>
      <c r="O94" s="992" t="s">
        <v>4040</v>
      </c>
      <c r="P94" s="992" t="s">
        <v>4049</v>
      </c>
      <c r="Q94" s="992" t="s">
        <v>87</v>
      </c>
      <c r="R94" s="992" t="s">
        <v>4094</v>
      </c>
      <c r="S94" s="992" t="s">
        <v>4095</v>
      </c>
      <c r="T94" s="992"/>
      <c r="U94" s="992"/>
      <c r="V94" s="992"/>
      <c r="W94" s="992"/>
      <c r="X94" s="1352"/>
      <c r="Y94" s="1332"/>
      <c r="Z94" s="1332"/>
      <c r="AA94" s="1332"/>
    </row>
    <row r="95" spans="2:27" ht="12" customHeight="1">
      <c r="B95" s="1332"/>
      <c r="C95" s="1332"/>
      <c r="D95" s="1332"/>
      <c r="E95" s="1332"/>
      <c r="F95" s="1332"/>
      <c r="G95" s="1332"/>
      <c r="H95" s="1332"/>
      <c r="I95" s="1332"/>
      <c r="J95" s="1387"/>
      <c r="K95" s="64" t="s">
        <v>4096</v>
      </c>
      <c r="L95" s="29">
        <v>1</v>
      </c>
      <c r="M95" s="29" t="s">
        <v>139</v>
      </c>
      <c r="N95" s="1247" t="s">
        <v>1819</v>
      </c>
      <c r="O95" s="992" t="s">
        <v>4057</v>
      </c>
      <c r="P95" s="992" t="s">
        <v>4058</v>
      </c>
      <c r="Q95" s="992">
        <v>0.28480095999999999</v>
      </c>
      <c r="R95" s="992">
        <v>0</v>
      </c>
      <c r="S95" s="992">
        <v>0.28480095999999999</v>
      </c>
      <c r="T95" s="992"/>
      <c r="U95" s="992"/>
      <c r="V95" s="992"/>
      <c r="W95" s="992"/>
      <c r="X95" s="1352"/>
      <c r="Y95" s="1332"/>
      <c r="Z95" s="1332"/>
      <c r="AA95" s="1332"/>
    </row>
    <row r="96" spans="2:27" ht="12" customHeight="1">
      <c r="B96" s="1332"/>
      <c r="C96" s="1332"/>
      <c r="D96" s="1332"/>
      <c r="E96" s="1332"/>
      <c r="F96" s="1332"/>
      <c r="G96" s="1332"/>
      <c r="H96" s="1332"/>
      <c r="I96" s="1332"/>
      <c r="J96" s="1387"/>
      <c r="K96" s="64" t="s">
        <v>4097</v>
      </c>
      <c r="L96" s="29">
        <v>8.6999999999999993</v>
      </c>
      <c r="M96" s="29" t="s">
        <v>139</v>
      </c>
      <c r="N96" s="1247" t="s">
        <v>1819</v>
      </c>
      <c r="O96" s="992"/>
      <c r="P96" s="1355"/>
      <c r="Q96" s="1350"/>
      <c r="R96" s="1350"/>
      <c r="S96" s="1350"/>
      <c r="T96" s="1350"/>
      <c r="U96" s="1350"/>
      <c r="V96" s="1350"/>
      <c r="W96" s="1350"/>
      <c r="X96" s="1332"/>
      <c r="Y96" s="1332"/>
      <c r="Z96" s="1332"/>
      <c r="AA96" s="1332"/>
    </row>
    <row r="97" spans="2:27" ht="12" customHeight="1">
      <c r="B97" s="1332"/>
      <c r="C97" s="1332"/>
      <c r="D97" s="1332"/>
      <c r="E97" s="1332"/>
      <c r="F97" s="1332"/>
      <c r="G97" s="1332"/>
      <c r="H97" s="1332"/>
      <c r="I97" s="1332"/>
      <c r="J97" s="1387"/>
      <c r="K97" s="64" t="s">
        <v>4098</v>
      </c>
      <c r="L97" s="29">
        <v>13</v>
      </c>
      <c r="M97" s="29" t="s">
        <v>139</v>
      </c>
      <c r="N97" s="1247" t="s">
        <v>1819</v>
      </c>
      <c r="O97" s="992"/>
      <c r="P97" s="1352"/>
      <c r="Q97" s="1332"/>
      <c r="R97" s="1332"/>
      <c r="S97" s="1332"/>
      <c r="T97" s="1332"/>
      <c r="U97" s="1332"/>
      <c r="V97" s="1332"/>
      <c r="W97" s="1332"/>
      <c r="X97" s="1332"/>
      <c r="Y97" s="1332"/>
      <c r="Z97" s="1332"/>
      <c r="AA97" s="1332"/>
    </row>
    <row r="98" spans="2:27" ht="12" customHeight="1">
      <c r="B98" s="1332"/>
      <c r="C98" s="1332"/>
      <c r="D98" s="1332"/>
      <c r="E98" s="1332"/>
      <c r="F98" s="1332"/>
      <c r="G98" s="1332"/>
      <c r="H98" s="1332"/>
      <c r="I98" s="1332"/>
      <c r="J98" s="1387"/>
      <c r="K98" s="64" t="s">
        <v>4099</v>
      </c>
      <c r="L98" s="29">
        <v>3.3</v>
      </c>
      <c r="M98" s="29" t="s">
        <v>139</v>
      </c>
      <c r="N98" s="1247" t="s">
        <v>1819</v>
      </c>
      <c r="O98" s="992"/>
      <c r="P98" s="1352"/>
      <c r="Q98" s="1332"/>
      <c r="R98" s="1332"/>
      <c r="S98" s="1332"/>
      <c r="T98" s="1332"/>
      <c r="U98" s="1332"/>
      <c r="V98" s="1332"/>
      <c r="W98" s="1332"/>
      <c r="X98" s="1332"/>
      <c r="Y98" s="1332"/>
      <c r="Z98" s="1332"/>
      <c r="AA98" s="1332"/>
    </row>
    <row r="99" spans="2:27" ht="12" customHeight="1">
      <c r="B99" s="1332"/>
      <c r="C99" s="1332"/>
      <c r="D99" s="1332"/>
      <c r="E99" s="1332"/>
      <c r="F99" s="1332"/>
      <c r="G99" s="1332"/>
      <c r="H99" s="1332"/>
      <c r="I99" s="1332"/>
      <c r="J99" s="1387"/>
      <c r="K99" s="64" t="s">
        <v>4100</v>
      </c>
      <c r="L99" s="29">
        <v>3</v>
      </c>
      <c r="M99" s="29" t="s">
        <v>139</v>
      </c>
      <c r="N99" s="1247" t="s">
        <v>1819</v>
      </c>
      <c r="O99" s="992"/>
      <c r="P99" s="1352"/>
      <c r="Q99" s="1332"/>
      <c r="R99" s="1332"/>
      <c r="S99" s="1332"/>
      <c r="T99" s="1332"/>
      <c r="U99" s="1332"/>
      <c r="V99" s="1332"/>
      <c r="W99" s="1332"/>
      <c r="X99" s="1332"/>
      <c r="Y99" s="1332"/>
      <c r="Z99" s="1332"/>
      <c r="AA99" s="1332"/>
    </row>
    <row r="100" spans="2:27" ht="12" customHeight="1">
      <c r="B100" s="1332"/>
      <c r="C100" s="1332"/>
      <c r="D100" s="1332"/>
      <c r="E100" s="1332"/>
      <c r="F100" s="1332"/>
      <c r="G100" s="1332"/>
      <c r="H100" s="1332"/>
      <c r="I100" s="1332"/>
      <c r="J100" s="1387"/>
      <c r="K100" s="64" t="s">
        <v>4101</v>
      </c>
      <c r="L100" s="29" t="s">
        <v>4102</v>
      </c>
      <c r="M100" s="29" t="s">
        <v>139</v>
      </c>
      <c r="N100" s="1247" t="s">
        <v>1819</v>
      </c>
      <c r="O100" s="992"/>
      <c r="P100" s="1352"/>
      <c r="Q100" s="1332"/>
      <c r="R100" s="1332"/>
      <c r="S100" s="1332"/>
      <c r="T100" s="1332"/>
      <c r="U100" s="1332"/>
      <c r="V100" s="1332"/>
      <c r="W100" s="1332"/>
      <c r="X100" s="1332"/>
      <c r="Y100" s="1332"/>
      <c r="Z100" s="1332"/>
      <c r="AA100" s="1332"/>
    </row>
    <row r="101" spans="2:27" ht="12" customHeight="1">
      <c r="B101" s="1332"/>
      <c r="C101" s="1332"/>
      <c r="D101" s="1332"/>
      <c r="E101" s="1332"/>
      <c r="F101" s="1332"/>
      <c r="G101" s="1332"/>
      <c r="H101" s="1332"/>
      <c r="I101" s="1332"/>
      <c r="J101" s="1387"/>
      <c r="K101" s="64" t="s">
        <v>4103</v>
      </c>
      <c r="L101" s="29" t="s">
        <v>4102</v>
      </c>
      <c r="M101" s="29" t="s">
        <v>139</v>
      </c>
      <c r="N101" s="1247" t="s">
        <v>1819</v>
      </c>
      <c r="O101" s="992"/>
      <c r="P101" s="1352"/>
      <c r="Q101" s="1332"/>
      <c r="R101" s="1332"/>
      <c r="S101" s="1332"/>
      <c r="T101" s="1332"/>
      <c r="U101" s="1332"/>
      <c r="V101" s="1332"/>
      <c r="W101" s="1332"/>
      <c r="X101" s="1332"/>
      <c r="Y101" s="1332"/>
      <c r="Z101" s="1332"/>
      <c r="AA101" s="1332"/>
    </row>
    <row r="102" spans="2:27" ht="12" customHeight="1">
      <c r="B102" s="1332"/>
      <c r="C102" s="1332"/>
      <c r="D102" s="1332"/>
      <c r="E102" s="1332"/>
      <c r="F102" s="1332"/>
      <c r="G102" s="1332"/>
      <c r="H102" s="1332"/>
      <c r="I102" s="1332"/>
      <c r="J102" s="1387"/>
      <c r="K102" s="64" t="s">
        <v>4104</v>
      </c>
      <c r="L102" s="29">
        <v>1943</v>
      </c>
      <c r="M102" s="29" t="s">
        <v>139</v>
      </c>
      <c r="N102" s="1247" t="s">
        <v>1819</v>
      </c>
      <c r="O102" s="992"/>
      <c r="P102" s="1352"/>
      <c r="Q102" s="1332"/>
      <c r="R102" s="1332"/>
      <c r="S102" s="1332"/>
      <c r="T102" s="1332"/>
      <c r="U102" s="1332"/>
      <c r="V102" s="1332"/>
      <c r="W102" s="1332"/>
      <c r="X102" s="1332"/>
      <c r="Y102" s="1332"/>
      <c r="Z102" s="1332"/>
      <c r="AA102" s="1332"/>
    </row>
    <row r="103" spans="2:27" ht="12" customHeight="1">
      <c r="B103" s="1332"/>
      <c r="C103" s="1332"/>
      <c r="D103" s="1332"/>
      <c r="E103" s="1332"/>
      <c r="F103" s="1332"/>
      <c r="G103" s="1332"/>
      <c r="H103" s="1332"/>
      <c r="I103" s="1332"/>
      <c r="J103" s="1387"/>
      <c r="K103" s="64" t="s">
        <v>4105</v>
      </c>
      <c r="L103" s="29">
        <v>1585</v>
      </c>
      <c r="M103" s="29" t="s">
        <v>139</v>
      </c>
      <c r="N103" s="1247" t="s">
        <v>1819</v>
      </c>
      <c r="O103" s="992"/>
      <c r="P103" s="1352"/>
      <c r="Q103" s="1332"/>
      <c r="R103" s="1332"/>
      <c r="S103" s="1332"/>
      <c r="T103" s="1332"/>
      <c r="U103" s="1332"/>
      <c r="V103" s="1332"/>
      <c r="W103" s="1332"/>
      <c r="X103" s="1332"/>
      <c r="Y103" s="1332"/>
      <c r="Z103" s="1332"/>
      <c r="AA103" s="1332"/>
    </row>
    <row r="104" spans="2:27" ht="12" customHeight="1">
      <c r="B104" s="1332"/>
      <c r="C104" s="1332"/>
      <c r="D104" s="1332"/>
      <c r="E104" s="1332"/>
      <c r="F104" s="1332"/>
      <c r="G104" s="1332"/>
      <c r="H104" s="1332"/>
      <c r="I104" s="1332"/>
      <c r="J104" s="1387"/>
      <c r="K104" s="64" t="s">
        <v>4106</v>
      </c>
      <c r="L104" s="29">
        <v>4657</v>
      </c>
      <c r="M104" s="29" t="s">
        <v>139</v>
      </c>
      <c r="N104" s="1247" t="s">
        <v>1819</v>
      </c>
      <c r="O104" s="992"/>
      <c r="P104" s="1352"/>
      <c r="Q104" s="1332"/>
      <c r="R104" s="1332"/>
      <c r="S104" s="1332"/>
      <c r="T104" s="1332"/>
      <c r="U104" s="1332"/>
      <c r="V104" s="1332"/>
      <c r="W104" s="1332"/>
      <c r="X104" s="1332"/>
      <c r="Y104" s="1332"/>
      <c r="Z104" s="1332"/>
      <c r="AA104" s="1332"/>
    </row>
    <row r="105" spans="2:27" ht="12" customHeight="1">
      <c r="B105" s="1332"/>
      <c r="C105" s="1332"/>
      <c r="D105" s="1332"/>
      <c r="E105" s="1332"/>
      <c r="F105" s="1332"/>
      <c r="G105" s="1332"/>
      <c r="H105" s="1332"/>
      <c r="I105" s="1332"/>
      <c r="J105" s="1387"/>
      <c r="K105" s="64" t="s">
        <v>4107</v>
      </c>
      <c r="L105" s="29"/>
      <c r="M105" s="29"/>
      <c r="N105" s="1247"/>
      <c r="O105" s="992"/>
      <c r="P105" s="1352"/>
      <c r="Q105" s="1332"/>
      <c r="R105" s="1332"/>
      <c r="S105" s="1332"/>
      <c r="T105" s="1332"/>
      <c r="U105" s="1332"/>
      <c r="V105" s="1332"/>
      <c r="W105" s="1332"/>
      <c r="X105" s="1332"/>
      <c r="Y105" s="1332"/>
      <c r="Z105" s="1332"/>
      <c r="AA105" s="1332"/>
    </row>
    <row r="106" spans="2:27" ht="12" customHeight="1">
      <c r="B106" s="1332"/>
      <c r="C106" s="1332"/>
      <c r="D106" s="1332"/>
      <c r="E106" s="1332"/>
      <c r="F106" s="1332"/>
      <c r="G106" s="1332"/>
      <c r="H106" s="1332"/>
      <c r="I106" s="1332"/>
      <c r="J106" s="1387"/>
      <c r="K106" s="64" t="s">
        <v>4108</v>
      </c>
      <c r="L106" s="29"/>
      <c r="M106" s="29"/>
      <c r="N106" s="1247"/>
      <c r="O106" s="992"/>
      <c r="P106" s="1352"/>
      <c r="Q106" s="1332"/>
      <c r="R106" s="1332"/>
      <c r="S106" s="1332"/>
      <c r="T106" s="1332"/>
      <c r="U106" s="1332"/>
      <c r="V106" s="1332"/>
      <c r="W106" s="1332"/>
      <c r="X106" s="1332"/>
      <c r="Y106" s="1332"/>
      <c r="Z106" s="1332"/>
      <c r="AA106" s="1332"/>
    </row>
    <row r="107" spans="2:27" ht="12" customHeight="1">
      <c r="B107" s="1332"/>
      <c r="C107" s="1332"/>
      <c r="D107" s="1332"/>
      <c r="E107" s="1332"/>
      <c r="F107" s="1332"/>
      <c r="G107" s="1332"/>
      <c r="H107" s="1332"/>
      <c r="I107" s="1332"/>
      <c r="J107" s="1387"/>
      <c r="K107" s="64" t="s">
        <v>4109</v>
      </c>
      <c r="L107" s="29"/>
      <c r="M107" s="29"/>
      <c r="N107" s="1247"/>
      <c r="O107" s="992"/>
      <c r="P107" s="1352"/>
      <c r="Q107" s="1332"/>
      <c r="R107" s="1332"/>
      <c r="S107" s="1332"/>
      <c r="T107" s="1332"/>
      <c r="U107" s="1332"/>
      <c r="V107" s="1332"/>
      <c r="W107" s="1332"/>
      <c r="X107" s="1332"/>
      <c r="Y107" s="1332"/>
      <c r="Z107" s="1332"/>
      <c r="AA107" s="1332"/>
    </row>
    <row r="108" spans="2:27" ht="12" customHeight="1">
      <c r="B108" s="1332"/>
      <c r="C108" s="1332"/>
      <c r="D108" s="1332"/>
      <c r="E108" s="1332"/>
      <c r="F108" s="1332"/>
      <c r="G108" s="1332"/>
      <c r="H108" s="1332"/>
      <c r="I108" s="1332"/>
      <c r="J108" s="1387"/>
      <c r="K108" s="64" t="s">
        <v>4110</v>
      </c>
      <c r="L108" s="29">
        <f>(0.466*L28+0.5*L30)</f>
        <v>2346</v>
      </c>
      <c r="M108" s="29" t="s">
        <v>139</v>
      </c>
      <c r="N108" s="1247"/>
      <c r="O108" s="992" t="s">
        <v>4111</v>
      </c>
      <c r="P108" s="1352"/>
      <c r="Q108" s="1332"/>
      <c r="R108" s="1332"/>
      <c r="S108" s="1332"/>
      <c r="T108" s="1332"/>
      <c r="U108" s="1332"/>
      <c r="V108" s="1332"/>
      <c r="W108" s="1332"/>
      <c r="X108" s="1332"/>
      <c r="Y108" s="1332"/>
      <c r="Z108" s="1332"/>
      <c r="AA108" s="1332"/>
    </row>
    <row r="109" spans="2:27" ht="12" customHeight="1">
      <c r="B109" s="1332"/>
      <c r="C109" s="1332"/>
      <c r="D109" s="1332"/>
      <c r="E109" s="1332"/>
      <c r="F109" s="1332"/>
      <c r="G109" s="1332"/>
      <c r="H109" s="1332"/>
      <c r="I109" s="1332"/>
      <c r="J109" s="1387"/>
      <c r="K109" s="64" t="s">
        <v>4112</v>
      </c>
      <c r="L109" s="29"/>
      <c r="M109" s="29"/>
      <c r="N109" s="1247"/>
      <c r="O109" s="992"/>
      <c r="P109" s="1352"/>
      <c r="Q109" s="1332"/>
      <c r="R109" s="1332"/>
      <c r="S109" s="1332"/>
      <c r="T109" s="1332"/>
      <c r="U109" s="1332"/>
      <c r="V109" s="1332"/>
      <c r="W109" s="1332"/>
      <c r="X109" s="1332"/>
      <c r="Y109" s="1332"/>
      <c r="Z109" s="1332"/>
      <c r="AA109" s="1332"/>
    </row>
    <row r="110" spans="2:27" ht="12" customHeight="1">
      <c r="B110" s="1332"/>
      <c r="C110" s="1332"/>
      <c r="D110" s="1332"/>
      <c r="E110" s="1332"/>
      <c r="F110" s="1332"/>
      <c r="G110" s="1332"/>
      <c r="H110" s="1332"/>
      <c r="I110" s="1332"/>
      <c r="J110" s="1387"/>
      <c r="K110" s="64" t="s">
        <v>4113</v>
      </c>
      <c r="L110" s="29"/>
      <c r="M110" s="29"/>
      <c r="N110" s="1247"/>
      <c r="O110" s="992"/>
      <c r="P110" s="1352"/>
      <c r="Q110" s="1332"/>
      <c r="R110" s="1332"/>
      <c r="S110" s="1332"/>
      <c r="T110" s="1332"/>
      <c r="U110" s="1332"/>
      <c r="V110" s="1332"/>
      <c r="W110" s="1332"/>
      <c r="X110" s="1332"/>
      <c r="Y110" s="1332"/>
      <c r="Z110" s="1332"/>
      <c r="AA110" s="1332"/>
    </row>
    <row r="111" spans="2:27" ht="12" customHeight="1">
      <c r="B111" s="1332"/>
      <c r="C111" s="1332"/>
      <c r="D111" s="1332"/>
      <c r="E111" s="1332"/>
      <c r="F111" s="1332"/>
      <c r="G111" s="1332"/>
      <c r="H111" s="1332"/>
      <c r="I111" s="1332"/>
      <c r="J111" s="1387"/>
      <c r="K111" s="64" t="s">
        <v>4114</v>
      </c>
      <c r="L111" s="29"/>
      <c r="M111" s="29"/>
      <c r="N111" s="1247"/>
      <c r="O111" s="992"/>
      <c r="P111" s="1352"/>
      <c r="Q111" s="1332"/>
      <c r="R111" s="1332"/>
      <c r="S111" s="1332"/>
      <c r="T111" s="1332"/>
      <c r="U111" s="1332"/>
      <c r="V111" s="1332"/>
      <c r="W111" s="1332"/>
      <c r="X111" s="1332"/>
      <c r="Y111" s="1332"/>
      <c r="Z111" s="1332"/>
      <c r="AA111" s="1332"/>
    </row>
    <row r="112" spans="2:27" ht="12" customHeight="1">
      <c r="B112" s="1332"/>
      <c r="C112" s="1332"/>
      <c r="D112" s="1332"/>
      <c r="E112" s="1332"/>
      <c r="F112" s="1332"/>
      <c r="G112" s="1332"/>
      <c r="H112" s="1332"/>
      <c r="I112" s="1332"/>
      <c r="J112" s="1387"/>
      <c r="K112" s="64" t="s">
        <v>4115</v>
      </c>
      <c r="L112" s="29"/>
      <c r="M112" s="29"/>
      <c r="N112" s="1247"/>
      <c r="O112" s="992"/>
      <c r="P112" s="1352"/>
      <c r="Q112" s="1332"/>
      <c r="R112" s="1332"/>
      <c r="S112" s="1332"/>
      <c r="T112" s="1332"/>
      <c r="U112" s="1332"/>
      <c r="V112" s="1332"/>
      <c r="W112" s="1332"/>
      <c r="X112" s="1332"/>
      <c r="Y112" s="1332"/>
      <c r="Z112" s="1332"/>
      <c r="AA112" s="1332"/>
    </row>
    <row r="113" spans="2:27" ht="12" customHeight="1">
      <c r="B113" s="1332"/>
      <c r="C113" s="1332"/>
      <c r="D113" s="1332"/>
      <c r="E113" s="1332"/>
      <c r="F113" s="1332"/>
      <c r="G113" s="1332"/>
      <c r="H113" s="1332"/>
      <c r="I113" s="1332"/>
      <c r="J113" s="1387"/>
      <c r="K113" s="64" t="s">
        <v>4116</v>
      </c>
      <c r="L113" s="29"/>
      <c r="M113" s="29"/>
      <c r="N113" s="1247"/>
      <c r="O113" s="992"/>
      <c r="P113" s="1352"/>
      <c r="Q113" s="1332"/>
      <c r="R113" s="1332"/>
      <c r="S113" s="1332"/>
      <c r="T113" s="1332"/>
      <c r="U113" s="1332"/>
      <c r="V113" s="1332"/>
      <c r="W113" s="1332"/>
      <c r="X113" s="1332"/>
      <c r="Y113" s="1332"/>
      <c r="Z113" s="1332"/>
      <c r="AA113" s="1332"/>
    </row>
    <row r="114" spans="2:27" ht="12" customHeight="1">
      <c r="B114" s="1332"/>
      <c r="C114" s="1332"/>
      <c r="D114" s="1332"/>
      <c r="E114" s="1332"/>
      <c r="F114" s="1332"/>
      <c r="G114" s="1332"/>
      <c r="H114" s="1332"/>
      <c r="I114" s="1332"/>
      <c r="J114" s="1387"/>
      <c r="K114" s="64" t="s">
        <v>4117</v>
      </c>
      <c r="L114" s="29"/>
      <c r="M114" s="29"/>
      <c r="N114" s="1247"/>
      <c r="O114" s="992"/>
      <c r="P114" s="1352"/>
      <c r="Q114" s="1332"/>
      <c r="R114" s="1332"/>
      <c r="S114" s="1332"/>
      <c r="T114" s="1332"/>
      <c r="U114" s="1332"/>
      <c r="V114" s="1332"/>
      <c r="W114" s="1332"/>
      <c r="X114" s="1332"/>
      <c r="Y114" s="1332"/>
      <c r="Z114" s="1332"/>
      <c r="AA114" s="1332"/>
    </row>
    <row r="115" spans="2:27" ht="12" customHeight="1">
      <c r="B115" s="1332"/>
      <c r="C115" s="1332"/>
      <c r="D115" s="1332"/>
      <c r="E115" s="1332"/>
      <c r="F115" s="1332"/>
      <c r="G115" s="1332"/>
      <c r="H115" s="1332"/>
      <c r="I115" s="1332"/>
      <c r="J115" s="1387"/>
      <c r="K115" s="64" t="s">
        <v>4118</v>
      </c>
      <c r="L115" s="29"/>
      <c r="M115" s="29"/>
      <c r="N115" s="1247"/>
      <c r="O115" s="992"/>
      <c r="P115" s="1352"/>
      <c r="Q115" s="1332"/>
      <c r="R115" s="1332"/>
      <c r="S115" s="1332"/>
      <c r="T115" s="1332"/>
      <c r="U115" s="1332"/>
      <c r="V115" s="1332"/>
      <c r="W115" s="1332"/>
      <c r="X115" s="1332"/>
      <c r="Y115" s="1332"/>
      <c r="Z115" s="1332"/>
      <c r="AA115" s="1332"/>
    </row>
    <row r="116" spans="2:27" ht="12" customHeight="1">
      <c r="B116" s="1332"/>
      <c r="C116" s="1332"/>
      <c r="D116" s="1332"/>
      <c r="E116" s="1332"/>
      <c r="F116" s="1332"/>
      <c r="G116" s="1332"/>
      <c r="H116" s="1332"/>
      <c r="I116" s="1332"/>
      <c r="J116" s="1387"/>
      <c r="K116" s="64" t="s">
        <v>4119</v>
      </c>
      <c r="L116" s="29"/>
      <c r="M116" s="29"/>
      <c r="N116" s="1247"/>
      <c r="O116" s="992"/>
      <c r="P116" s="1352"/>
      <c r="Q116" s="1332"/>
      <c r="R116" s="1332"/>
      <c r="S116" s="1332"/>
      <c r="T116" s="1332"/>
      <c r="U116" s="1332"/>
      <c r="V116" s="1332"/>
      <c r="W116" s="1332"/>
      <c r="X116" s="1332"/>
      <c r="Y116" s="1332"/>
      <c r="Z116" s="1332"/>
      <c r="AA116" s="1332"/>
    </row>
    <row r="117" spans="2:27" ht="12" customHeight="1">
      <c r="B117" s="1332"/>
      <c r="C117" s="1332"/>
      <c r="D117" s="1332"/>
      <c r="E117" s="1332"/>
      <c r="F117" s="1332"/>
      <c r="G117" s="1332"/>
      <c r="H117" s="1332"/>
      <c r="I117" s="1332"/>
      <c r="J117" s="1387"/>
      <c r="K117" s="64" t="s">
        <v>4120</v>
      </c>
      <c r="L117" s="29"/>
      <c r="M117" s="29"/>
      <c r="N117" s="1247"/>
      <c r="O117" s="992"/>
      <c r="P117" s="1352"/>
      <c r="Q117" s="1332"/>
      <c r="R117" s="1332"/>
      <c r="S117" s="1332"/>
      <c r="T117" s="1332"/>
      <c r="U117" s="1332"/>
      <c r="V117" s="1332"/>
      <c r="W117" s="1332"/>
      <c r="X117" s="1332"/>
      <c r="Y117" s="1332"/>
      <c r="Z117" s="1332"/>
      <c r="AA117" s="1332"/>
    </row>
    <row r="118" spans="2:27" ht="12" customHeight="1">
      <c r="B118" s="1332"/>
      <c r="C118" s="1332"/>
      <c r="D118" s="1332"/>
      <c r="E118" s="1332"/>
      <c r="F118" s="1332"/>
      <c r="G118" s="1332"/>
      <c r="H118" s="1332"/>
      <c r="I118" s="1332"/>
      <c r="J118" s="1387"/>
      <c r="K118" s="64" t="s">
        <v>4121</v>
      </c>
      <c r="L118" s="29"/>
      <c r="M118" s="29"/>
      <c r="N118" s="1247"/>
      <c r="O118" s="992"/>
      <c r="P118" s="1352"/>
      <c r="Q118" s="1332"/>
      <c r="R118" s="1332"/>
      <c r="S118" s="1332"/>
      <c r="T118" s="1332"/>
      <c r="U118" s="1332"/>
      <c r="V118" s="1332"/>
      <c r="W118" s="1332"/>
      <c r="X118" s="1332"/>
      <c r="Y118" s="1332"/>
      <c r="Z118" s="1332"/>
      <c r="AA118" s="1332"/>
    </row>
    <row r="119" spans="2:27" ht="12" customHeight="1">
      <c r="B119" s="1332"/>
      <c r="C119" s="1332"/>
      <c r="D119" s="1332"/>
      <c r="E119" s="1332"/>
      <c r="F119" s="1332"/>
      <c r="G119" s="1332"/>
      <c r="H119" s="1332"/>
      <c r="I119" s="1332"/>
      <c r="J119" s="1387"/>
      <c r="K119" s="64" t="s">
        <v>4122</v>
      </c>
      <c r="L119" s="29"/>
      <c r="M119" s="29"/>
      <c r="N119" s="1247"/>
      <c r="O119" s="992"/>
      <c r="P119" s="1352"/>
      <c r="Q119" s="1332"/>
      <c r="R119" s="1332"/>
      <c r="S119" s="1332"/>
      <c r="T119" s="1332"/>
      <c r="U119" s="1332"/>
      <c r="V119" s="1332"/>
      <c r="W119" s="1332"/>
      <c r="X119" s="1332"/>
      <c r="Y119" s="1332"/>
      <c r="Z119" s="1332"/>
      <c r="AA119" s="1332"/>
    </row>
    <row r="120" spans="2:27" ht="12" customHeight="1">
      <c r="B120" s="1332"/>
      <c r="C120" s="1332"/>
      <c r="D120" s="1332"/>
      <c r="E120" s="1332"/>
      <c r="F120" s="1332"/>
      <c r="G120" s="1332"/>
      <c r="H120" s="1335"/>
      <c r="I120" s="1335"/>
      <c r="J120" s="1388"/>
      <c r="K120" s="1244" t="s">
        <v>4123</v>
      </c>
      <c r="L120" s="1245"/>
      <c r="M120" s="1245"/>
      <c r="N120" s="1246"/>
      <c r="O120" s="992"/>
      <c r="P120" s="1352"/>
      <c r="Q120" s="1332"/>
      <c r="R120" s="1332"/>
      <c r="S120" s="1332"/>
      <c r="T120" s="1332"/>
      <c r="U120" s="1332"/>
      <c r="V120" s="1332"/>
      <c r="W120" s="1332"/>
      <c r="X120" s="1332"/>
      <c r="Y120" s="1332"/>
      <c r="Z120" s="1332"/>
      <c r="AA120" s="1332"/>
    </row>
    <row r="121" spans="2:27" ht="12" customHeight="1">
      <c r="B121" s="1332"/>
      <c r="C121" s="1332"/>
      <c r="D121" s="1332"/>
      <c r="E121" s="1332"/>
      <c r="F121" s="1332"/>
      <c r="G121" s="1336"/>
      <c r="H121" s="1356" t="s">
        <v>1508</v>
      </c>
      <c r="I121" s="992" t="str">
        <f t="shared" ref="I121:I167" si="1">+J121&amp;K121</f>
        <v>Relleno sanitarioPE alta densidad</v>
      </c>
      <c r="J121" s="1356" t="s">
        <v>1508</v>
      </c>
      <c r="K121" s="1357" t="s">
        <v>1358</v>
      </c>
      <c r="L121" s="1358">
        <v>0.12845959000000001</v>
      </c>
      <c r="M121" s="992" t="s">
        <v>139</v>
      </c>
      <c r="N121" s="992" t="s">
        <v>162</v>
      </c>
      <c r="O121" s="992"/>
      <c r="P121" s="1352"/>
      <c r="Q121" s="1332"/>
      <c r="R121" s="1332"/>
      <c r="S121" s="1332"/>
      <c r="T121" s="1332"/>
      <c r="U121" s="1332"/>
      <c r="V121" s="1332"/>
      <c r="W121" s="1332"/>
      <c r="X121" s="1332"/>
      <c r="Y121" s="1332"/>
      <c r="Z121" s="1332"/>
      <c r="AA121" s="1332"/>
    </row>
    <row r="122" spans="2:27" ht="12" customHeight="1">
      <c r="B122" s="1332"/>
      <c r="C122" s="1332"/>
      <c r="D122" s="1332"/>
      <c r="E122" s="1332"/>
      <c r="F122" s="1332"/>
      <c r="G122" s="1336"/>
      <c r="H122" s="1356" t="s">
        <v>1543</v>
      </c>
      <c r="I122" s="992" t="str">
        <f t="shared" si="1"/>
        <v>Relleno sanitarioPE baja densidad</v>
      </c>
      <c r="J122" s="1356" t="s">
        <v>1508</v>
      </c>
      <c r="K122" s="1357" t="s">
        <v>1356</v>
      </c>
      <c r="L122" s="1358">
        <v>0.12845959000000001</v>
      </c>
      <c r="M122" s="992" t="s">
        <v>139</v>
      </c>
      <c r="N122" s="992" t="s">
        <v>162</v>
      </c>
      <c r="O122" s="992"/>
      <c r="P122" s="1352"/>
      <c r="Q122" s="1332"/>
      <c r="R122" s="1332"/>
      <c r="S122" s="1332"/>
      <c r="T122" s="1332"/>
      <c r="U122" s="1332"/>
      <c r="V122" s="1332"/>
      <c r="W122" s="1332"/>
      <c r="X122" s="1332"/>
      <c r="Y122" s="1332"/>
      <c r="Z122" s="1332"/>
      <c r="AA122" s="1332"/>
    </row>
    <row r="123" spans="2:27" ht="12" customHeight="1">
      <c r="B123" s="1332"/>
      <c r="C123" s="1332"/>
      <c r="D123" s="1332"/>
      <c r="E123" s="1332"/>
      <c r="F123" s="1332"/>
      <c r="G123" s="1336"/>
      <c r="H123" s="1356" t="s">
        <v>1512</v>
      </c>
      <c r="I123" s="992" t="str">
        <f t="shared" si="1"/>
        <v>Relleno sanitarioPET</v>
      </c>
      <c r="J123" s="1356" t="s">
        <v>1508</v>
      </c>
      <c r="K123" s="1357" t="s">
        <v>1562</v>
      </c>
      <c r="L123" s="1358">
        <v>9.0601144999999994E-2</v>
      </c>
      <c r="M123" s="992" t="s">
        <v>139</v>
      </c>
      <c r="N123" s="992" t="s">
        <v>162</v>
      </c>
      <c r="O123" s="992"/>
      <c r="P123" s="1352"/>
      <c r="Q123" s="1332"/>
      <c r="R123" s="1332"/>
      <c r="S123" s="1332"/>
      <c r="T123" s="1332"/>
      <c r="U123" s="1332"/>
      <c r="V123" s="1332"/>
      <c r="W123" s="1332"/>
      <c r="X123" s="1332"/>
      <c r="Y123" s="1332"/>
      <c r="Z123" s="1332"/>
      <c r="AA123" s="1332"/>
    </row>
    <row r="124" spans="2:27" ht="12" customHeight="1">
      <c r="B124" s="1332"/>
      <c r="C124" s="1332"/>
      <c r="D124" s="1332"/>
      <c r="E124" s="1332"/>
      <c r="F124" s="1332"/>
      <c r="G124" s="1336"/>
      <c r="H124" s="992" t="s">
        <v>1499</v>
      </c>
      <c r="I124" s="992" t="str">
        <f t="shared" si="1"/>
        <v>Relleno sanitarioPVC</v>
      </c>
      <c r="J124" s="1356" t="s">
        <v>1508</v>
      </c>
      <c r="K124" s="1357" t="s">
        <v>1563</v>
      </c>
      <c r="L124" s="1358">
        <v>7.3596639000000005E-2</v>
      </c>
      <c r="M124" s="992" t="s">
        <v>139</v>
      </c>
      <c r="N124" s="992" t="s">
        <v>162</v>
      </c>
      <c r="O124" s="992"/>
      <c r="P124" s="1352"/>
      <c r="Q124" s="1332"/>
      <c r="R124" s="1332"/>
      <c r="S124" s="1332"/>
      <c r="T124" s="1332"/>
      <c r="U124" s="1332"/>
      <c r="V124" s="1332"/>
      <c r="W124" s="1332"/>
      <c r="X124" s="1332"/>
      <c r="Y124" s="1332"/>
      <c r="Z124" s="1332"/>
      <c r="AA124" s="1332"/>
    </row>
    <row r="125" spans="2:27" ht="12" customHeight="1">
      <c r="B125" s="1332"/>
      <c r="C125" s="1332"/>
      <c r="D125" s="1332"/>
      <c r="E125" s="1332"/>
      <c r="F125" s="1332"/>
      <c r="G125" s="1336"/>
      <c r="H125" s="992" t="s">
        <v>4124</v>
      </c>
      <c r="I125" s="992" t="str">
        <f t="shared" si="1"/>
        <v>Relleno sanitarioPoliestireno</v>
      </c>
      <c r="J125" s="1356" t="s">
        <v>1508</v>
      </c>
      <c r="K125" s="1357" t="s">
        <v>1527</v>
      </c>
      <c r="L125" s="1358">
        <v>0.13485942000000001</v>
      </c>
      <c r="M125" s="992" t="s">
        <v>139</v>
      </c>
      <c r="N125" s="992" t="s">
        <v>162</v>
      </c>
      <c r="O125" s="992"/>
      <c r="P125" s="1352"/>
      <c r="Q125" s="1332"/>
      <c r="R125" s="1332"/>
      <c r="S125" s="1332"/>
      <c r="T125" s="1332"/>
      <c r="U125" s="1332"/>
      <c r="V125" s="1332"/>
      <c r="W125" s="1332"/>
      <c r="X125" s="1332"/>
      <c r="Y125" s="1332"/>
      <c r="Z125" s="1332"/>
      <c r="AA125" s="1332"/>
    </row>
    <row r="126" spans="2:27" ht="12" customHeight="1">
      <c r="B126" s="1332"/>
      <c r="C126" s="1332"/>
      <c r="D126" s="1332"/>
      <c r="E126" s="1332"/>
      <c r="F126" s="1332"/>
      <c r="G126" s="1336"/>
      <c r="H126" s="992" t="s">
        <v>1519</v>
      </c>
      <c r="I126" s="992" t="str">
        <f t="shared" si="1"/>
        <v>Relleno sanitarioPropileno</v>
      </c>
      <c r="J126" s="1356" t="s">
        <v>1508</v>
      </c>
      <c r="K126" s="1357" t="s">
        <v>1561</v>
      </c>
      <c r="L126" s="1358">
        <v>0.10985246</v>
      </c>
      <c r="M126" s="992" t="s">
        <v>139</v>
      </c>
      <c r="N126" s="992" t="s">
        <v>162</v>
      </c>
      <c r="O126" s="992"/>
      <c r="P126" s="1352"/>
      <c r="Q126" s="1332"/>
      <c r="R126" s="1332"/>
      <c r="S126" s="1332"/>
      <c r="T126" s="1332"/>
      <c r="U126" s="1332"/>
      <c r="V126" s="1332"/>
      <c r="W126" s="1332"/>
      <c r="X126" s="1332"/>
      <c r="Y126" s="1332"/>
      <c r="Z126" s="1332"/>
      <c r="AA126" s="1332"/>
    </row>
    <row r="127" spans="2:27" ht="12" customHeight="1">
      <c r="B127" s="1332"/>
      <c r="C127" s="1332"/>
      <c r="D127" s="1332"/>
      <c r="E127" s="1332"/>
      <c r="F127" s="1332"/>
      <c r="G127" s="1336"/>
      <c r="H127" s="992" t="s">
        <v>1564</v>
      </c>
      <c r="I127" s="992" t="str">
        <f t="shared" si="1"/>
        <v>Relleno sanitarioPoliuretano</v>
      </c>
      <c r="J127" s="1356" t="s">
        <v>1508</v>
      </c>
      <c r="K127" s="1357" t="s">
        <v>1529</v>
      </c>
      <c r="L127" s="1358">
        <v>0.10858697</v>
      </c>
      <c r="M127" s="992" t="s">
        <v>139</v>
      </c>
      <c r="N127" s="992" t="s">
        <v>162</v>
      </c>
      <c r="O127" s="992"/>
      <c r="P127" s="1352"/>
      <c r="Q127" s="1332"/>
      <c r="R127" s="1332" t="s">
        <v>4125</v>
      </c>
      <c r="S127" s="1332"/>
      <c r="T127" s="1332"/>
      <c r="U127" s="1332"/>
      <c r="V127" s="1332"/>
      <c r="W127" s="1332"/>
      <c r="X127" s="1332"/>
      <c r="Y127" s="1332"/>
      <c r="Z127" s="1332"/>
      <c r="AA127" s="1332"/>
    </row>
    <row r="128" spans="2:27" ht="12" customHeight="1">
      <c r="B128" s="1332"/>
      <c r="C128" s="1332"/>
      <c r="D128" s="1332"/>
      <c r="E128" s="1332"/>
      <c r="F128" s="1332"/>
      <c r="G128" s="1336"/>
      <c r="H128" s="992" t="s">
        <v>4126</v>
      </c>
      <c r="I128" s="992" t="str">
        <f t="shared" si="1"/>
        <v>Relleno sanitarioPlástico</v>
      </c>
      <c r="J128" s="1356" t="s">
        <v>1508</v>
      </c>
      <c r="K128" s="992" t="s">
        <v>1364</v>
      </c>
      <c r="L128" s="1358">
        <v>0.10181133000000001</v>
      </c>
      <c r="M128" s="992" t="s">
        <v>139</v>
      </c>
      <c r="N128" s="992" t="s">
        <v>162</v>
      </c>
      <c r="O128" s="992"/>
      <c r="P128" s="1352"/>
      <c r="Q128" s="1332"/>
      <c r="R128" s="1332"/>
      <c r="S128" s="1332"/>
      <c r="T128" s="1332"/>
      <c r="U128" s="1332"/>
      <c r="V128" s="1332"/>
      <c r="W128" s="1332"/>
      <c r="X128" s="1332"/>
      <c r="Y128" s="1332"/>
      <c r="Z128" s="1332"/>
      <c r="AA128" s="1332"/>
    </row>
    <row r="129" spans="2:27" ht="12" customHeight="1">
      <c r="B129" s="1332"/>
      <c r="C129" s="1332"/>
      <c r="D129" s="1332"/>
      <c r="E129" s="1332"/>
      <c r="F129" s="1332"/>
      <c r="G129" s="1336"/>
      <c r="H129" s="1357" t="s">
        <v>4127</v>
      </c>
      <c r="I129" s="992" t="str">
        <f t="shared" si="1"/>
        <v>Relleno sanitarioPapel</v>
      </c>
      <c r="J129" s="1359" t="s">
        <v>1508</v>
      </c>
      <c r="K129" s="1360" t="s">
        <v>1346</v>
      </c>
      <c r="L129" s="1361">
        <f>+simapro!E16</f>
        <v>2.1329126</v>
      </c>
      <c r="M129" s="1360" t="s">
        <v>139</v>
      </c>
      <c r="N129" s="1360" t="s">
        <v>162</v>
      </c>
      <c r="O129" s="992" t="s">
        <v>4128</v>
      </c>
      <c r="P129" s="1352"/>
      <c r="Q129" s="1332"/>
      <c r="R129" s="1332"/>
      <c r="S129" s="1332"/>
      <c r="T129" s="1332"/>
      <c r="U129" s="1332"/>
      <c r="V129" s="1332"/>
      <c r="W129" s="1332"/>
      <c r="X129" s="1332"/>
      <c r="Y129" s="1332"/>
      <c r="Z129" s="1332"/>
      <c r="AA129" s="1332"/>
    </row>
    <row r="130" spans="2:27" ht="12" customHeight="1">
      <c r="B130" s="1332"/>
      <c r="C130" s="1332"/>
      <c r="D130" s="1332"/>
      <c r="E130" s="1332"/>
      <c r="F130" s="1332"/>
      <c r="G130" s="1336"/>
      <c r="H130" s="992"/>
      <c r="I130" s="992" t="str">
        <f t="shared" si="1"/>
        <v>Relleno sanitarioCartón</v>
      </c>
      <c r="J130" s="1359" t="s">
        <v>1508</v>
      </c>
      <c r="K130" s="1362" t="s">
        <v>1344</v>
      </c>
      <c r="L130" s="1361">
        <v>1.8588391</v>
      </c>
      <c r="M130" s="1360" t="s">
        <v>139</v>
      </c>
      <c r="N130" s="1360" t="s">
        <v>162</v>
      </c>
      <c r="O130" s="992" t="s">
        <v>4128</v>
      </c>
      <c r="P130" s="1352"/>
      <c r="Q130" s="1332"/>
      <c r="R130" s="1332"/>
      <c r="S130" s="1332"/>
      <c r="T130" s="1332"/>
      <c r="U130" s="1332"/>
      <c r="V130" s="1332"/>
      <c r="W130" s="1332"/>
      <c r="X130" s="1332"/>
      <c r="Y130" s="1332"/>
      <c r="Z130" s="1332"/>
      <c r="AA130" s="1332"/>
    </row>
    <row r="131" spans="2:27" ht="12" customHeight="1">
      <c r="B131" s="1332"/>
      <c r="C131" s="1332"/>
      <c r="D131" s="1332"/>
      <c r="E131" s="1332"/>
      <c r="F131" s="1332"/>
      <c r="G131" s="1332"/>
      <c r="H131" s="1363"/>
      <c r="I131" s="992" t="str">
        <f t="shared" si="1"/>
        <v>Relleno sanitarioAluminio</v>
      </c>
      <c r="J131" s="1356" t="s">
        <v>1508</v>
      </c>
      <c r="K131" s="1357" t="s">
        <v>1565</v>
      </c>
      <c r="L131" s="1358">
        <v>3.9131279999999997E-2</v>
      </c>
      <c r="M131" s="992" t="s">
        <v>139</v>
      </c>
      <c r="N131" s="992" t="s">
        <v>162</v>
      </c>
      <c r="O131" s="992"/>
      <c r="P131" s="1352"/>
      <c r="Q131" s="1332"/>
      <c r="R131" s="1332"/>
      <c r="S131" s="1332"/>
      <c r="T131" s="1332"/>
      <c r="U131" s="1332"/>
      <c r="V131" s="1332"/>
      <c r="W131" s="1332"/>
      <c r="X131" s="1332"/>
      <c r="Y131" s="1332"/>
      <c r="Z131" s="1332"/>
      <c r="AA131" s="1332"/>
    </row>
    <row r="132" spans="2:27" ht="12" customHeight="1">
      <c r="B132" s="1332"/>
      <c r="C132" s="1332"/>
      <c r="D132" s="1332"/>
      <c r="E132" s="1332"/>
      <c r="F132" s="1332"/>
      <c r="G132" s="1332"/>
      <c r="H132" s="1336"/>
      <c r="I132" s="992" t="str">
        <f t="shared" si="1"/>
        <v>Relleno sanitarioOtros metales</v>
      </c>
      <c r="J132" s="1356" t="s">
        <v>1508</v>
      </c>
      <c r="K132" s="1357" t="s">
        <v>1566</v>
      </c>
      <c r="L132" s="1364">
        <f t="shared" ref="L132:L133" si="2">+L131</f>
        <v>3.9131279999999997E-2</v>
      </c>
      <c r="M132" s="992" t="s">
        <v>139</v>
      </c>
      <c r="N132" s="992" t="s">
        <v>162</v>
      </c>
      <c r="O132" s="992"/>
      <c r="P132" s="1352"/>
      <c r="Q132" s="1332"/>
      <c r="R132" s="1332"/>
      <c r="S132" s="1332"/>
      <c r="T132" s="1332"/>
      <c r="U132" s="1332"/>
      <c r="V132" s="1332"/>
      <c r="W132" s="1332"/>
      <c r="X132" s="1332"/>
      <c r="Y132" s="1332"/>
      <c r="Z132" s="1332"/>
      <c r="AA132" s="1332"/>
    </row>
    <row r="133" spans="2:27" ht="12" customHeight="1">
      <c r="B133" s="1332"/>
      <c r="C133" s="1332"/>
      <c r="D133" s="1332"/>
      <c r="E133" s="1332"/>
      <c r="F133" s="1332"/>
      <c r="G133" s="1332"/>
      <c r="H133" s="1336"/>
      <c r="I133" s="992" t="str">
        <f t="shared" si="1"/>
        <v>Relleno sanitarioMetal</v>
      </c>
      <c r="J133" s="1356" t="s">
        <v>1508</v>
      </c>
      <c r="K133" s="1357" t="s">
        <v>1525</v>
      </c>
      <c r="L133" s="1364">
        <f t="shared" si="2"/>
        <v>3.9131279999999997E-2</v>
      </c>
      <c r="M133" s="992" t="s">
        <v>139</v>
      </c>
      <c r="N133" s="992" t="s">
        <v>162</v>
      </c>
      <c r="O133" s="992"/>
      <c r="P133" s="1352"/>
      <c r="Q133" s="1332"/>
      <c r="R133" s="1332"/>
      <c r="S133" s="1332"/>
      <c r="T133" s="1332"/>
      <c r="U133" s="1332"/>
      <c r="V133" s="1332"/>
      <c r="W133" s="1332"/>
      <c r="X133" s="1332"/>
      <c r="Y133" s="1332"/>
      <c r="Z133" s="1332"/>
      <c r="AA133" s="1332"/>
    </row>
    <row r="134" spans="2:27" ht="12" customHeight="1">
      <c r="B134" s="1332"/>
      <c r="C134" s="1332"/>
      <c r="D134" s="1332"/>
      <c r="E134" s="1332"/>
      <c r="F134" s="1332"/>
      <c r="G134" s="1332"/>
      <c r="H134" s="1336"/>
      <c r="I134" s="992" t="str">
        <f t="shared" si="1"/>
        <v>Relleno sanitarioAdhesivo</v>
      </c>
      <c r="J134" s="1356" t="s">
        <v>1508</v>
      </c>
      <c r="K134" s="1357" t="s">
        <v>1349</v>
      </c>
      <c r="L134" s="1364">
        <f>+simapro!N251</f>
        <v>2.0164496999999999</v>
      </c>
      <c r="M134" s="992" t="s">
        <v>139</v>
      </c>
      <c r="N134" s="992"/>
      <c r="O134" s="992"/>
      <c r="P134" s="1352"/>
      <c r="Q134" s="1332"/>
      <c r="R134" s="1332"/>
      <c r="S134" s="1332"/>
      <c r="T134" s="1332"/>
      <c r="U134" s="1332"/>
      <c r="V134" s="1332"/>
      <c r="W134" s="1332"/>
      <c r="X134" s="1332"/>
      <c r="Y134" s="1332"/>
      <c r="Z134" s="1332"/>
      <c r="AA134" s="1332"/>
    </row>
    <row r="135" spans="2:27" ht="12" customHeight="1">
      <c r="B135" s="1332"/>
      <c r="C135" s="1332"/>
      <c r="D135" s="1332"/>
      <c r="E135" s="1332"/>
      <c r="F135" s="1332"/>
      <c r="G135" s="1332"/>
      <c r="H135" s="1336"/>
      <c r="I135" s="992" t="str">
        <f t="shared" si="1"/>
        <v>Relleno sanitarioMadera</v>
      </c>
      <c r="J135" s="1356" t="s">
        <v>1508</v>
      </c>
      <c r="K135" s="1357" t="s">
        <v>1361</v>
      </c>
      <c r="L135" s="1358">
        <v>7.4860113000000006E-2</v>
      </c>
      <c r="M135" s="992" t="s">
        <v>139</v>
      </c>
      <c r="N135" s="992" t="s">
        <v>162</v>
      </c>
      <c r="O135" s="992"/>
      <c r="P135" s="1352"/>
      <c r="Q135" s="1332"/>
      <c r="R135" s="1332"/>
      <c r="S135" s="1332"/>
      <c r="T135" s="1332"/>
      <c r="U135" s="1332"/>
      <c r="V135" s="1332"/>
      <c r="W135" s="1332"/>
      <c r="X135" s="1332"/>
      <c r="Y135" s="1332"/>
      <c r="Z135" s="1332"/>
      <c r="AA135" s="1332"/>
    </row>
    <row r="136" spans="2:27" ht="12" customHeight="1">
      <c r="B136" s="1332"/>
      <c r="C136" s="1332"/>
      <c r="D136" s="1332"/>
      <c r="E136" s="1332"/>
      <c r="F136" s="1332"/>
      <c r="G136" s="1332"/>
      <c r="H136" s="1336"/>
      <c r="I136" s="1360" t="str">
        <f t="shared" si="1"/>
        <v>Relleno sanitarioResiduos domiciliarios</v>
      </c>
      <c r="J136" s="1359" t="s">
        <v>1508</v>
      </c>
      <c r="K136" s="1362" t="s">
        <v>1506</v>
      </c>
      <c r="L136" s="1361">
        <f>+simapro!K16</f>
        <v>0.76013498000000002</v>
      </c>
      <c r="M136" s="1360" t="s">
        <v>139</v>
      </c>
      <c r="N136" s="1360" t="s">
        <v>162</v>
      </c>
      <c r="O136" s="992" t="s">
        <v>4128</v>
      </c>
      <c r="P136" s="1352"/>
      <c r="Q136" s="1332"/>
      <c r="R136" s="1332"/>
      <c r="S136" s="1332"/>
      <c r="T136" s="1332"/>
      <c r="U136" s="1332"/>
      <c r="V136" s="1332"/>
      <c r="W136" s="1332"/>
      <c r="X136" s="1332"/>
      <c r="Y136" s="1332"/>
      <c r="Z136" s="1332"/>
      <c r="AA136" s="1332"/>
    </row>
    <row r="137" spans="2:27" ht="12" customHeight="1">
      <c r="B137" s="1332"/>
      <c r="C137" s="1332"/>
      <c r="D137" s="1332"/>
      <c r="E137" s="1332"/>
      <c r="F137" s="1332"/>
      <c r="G137" s="1332"/>
      <c r="H137" s="1336"/>
      <c r="I137" s="992" t="str">
        <f t="shared" si="1"/>
        <v>QuemaPE alta densidad</v>
      </c>
      <c r="J137" s="1356" t="s">
        <v>1543</v>
      </c>
      <c r="K137" s="1357" t="s">
        <v>1358</v>
      </c>
      <c r="L137" s="1358">
        <v>3.1329562000000002</v>
      </c>
      <c r="M137" s="992" t="s">
        <v>139</v>
      </c>
      <c r="N137" s="992" t="s">
        <v>162</v>
      </c>
      <c r="O137" s="992"/>
      <c r="P137" s="1352"/>
      <c r="Q137" s="1332"/>
      <c r="R137" s="1332"/>
      <c r="S137" s="1332"/>
      <c r="T137" s="1332"/>
      <c r="U137" s="1332"/>
      <c r="V137" s="1332"/>
      <c r="W137" s="1332"/>
      <c r="X137" s="1332"/>
      <c r="Y137" s="1332"/>
      <c r="Z137" s="1332"/>
      <c r="AA137" s="1332"/>
    </row>
    <row r="138" spans="2:27" ht="12" customHeight="1">
      <c r="B138" s="1332"/>
      <c r="C138" s="1332"/>
      <c r="D138" s="1332"/>
      <c r="E138" s="1332"/>
      <c r="F138" s="1332"/>
      <c r="G138" s="1332"/>
      <c r="H138" s="1336"/>
      <c r="I138" s="992" t="str">
        <f t="shared" si="1"/>
        <v>QuemaPE baja densidad</v>
      </c>
      <c r="J138" s="1356" t="s">
        <v>1543</v>
      </c>
      <c r="K138" s="1357" t="s">
        <v>1356</v>
      </c>
      <c r="L138" s="1358">
        <f>+L137</f>
        <v>3.1329562000000002</v>
      </c>
      <c r="M138" s="992" t="s">
        <v>139</v>
      </c>
      <c r="N138" s="992" t="s">
        <v>162</v>
      </c>
      <c r="O138" s="992"/>
      <c r="P138" s="1352"/>
      <c r="Q138" s="1332"/>
      <c r="R138" s="1332"/>
      <c r="S138" s="1332"/>
      <c r="T138" s="1332"/>
      <c r="U138" s="1332"/>
      <c r="V138" s="1332"/>
      <c r="W138" s="1332"/>
      <c r="X138" s="1332"/>
      <c r="Y138" s="1332"/>
      <c r="Z138" s="1332"/>
      <c r="AA138" s="1332"/>
    </row>
    <row r="139" spans="2:27" ht="12" customHeight="1">
      <c r="B139" s="1332"/>
      <c r="C139" s="1332"/>
      <c r="D139" s="1332"/>
      <c r="E139" s="1332"/>
      <c r="F139" s="1332"/>
      <c r="G139" s="1332"/>
      <c r="H139" s="1336"/>
      <c r="I139" s="992" t="str">
        <f t="shared" si="1"/>
        <v>QuemaPET</v>
      </c>
      <c r="J139" s="1356" t="s">
        <v>1543</v>
      </c>
      <c r="K139" s="1357" t="s">
        <v>1562</v>
      </c>
      <c r="L139" s="1358">
        <v>2.1536563000000002</v>
      </c>
      <c r="M139" s="992" t="s">
        <v>139</v>
      </c>
      <c r="N139" s="992" t="s">
        <v>162</v>
      </c>
      <c r="O139" s="992"/>
      <c r="P139" s="1352"/>
      <c r="Q139" s="1332"/>
      <c r="R139" s="1332"/>
      <c r="S139" s="1332"/>
      <c r="T139" s="1332"/>
      <c r="U139" s="1332"/>
      <c r="V139" s="1332"/>
      <c r="W139" s="1332"/>
      <c r="X139" s="1332"/>
      <c r="Y139" s="1332"/>
      <c r="Z139" s="1332"/>
      <c r="AA139" s="1332"/>
    </row>
    <row r="140" spans="2:27" ht="12" customHeight="1">
      <c r="B140" s="1332"/>
      <c r="C140" s="1332"/>
      <c r="D140" s="1332"/>
      <c r="E140" s="1332"/>
      <c r="F140" s="1332"/>
      <c r="G140" s="1332"/>
      <c r="H140" s="1336"/>
      <c r="I140" s="992" t="str">
        <f t="shared" si="1"/>
        <v>QuemaPVC</v>
      </c>
      <c r="J140" s="1356" t="s">
        <v>1543</v>
      </c>
      <c r="K140" s="1357" t="s">
        <v>1563</v>
      </c>
      <c r="L140" s="1358">
        <v>1.7413562</v>
      </c>
      <c r="M140" s="992" t="s">
        <v>139</v>
      </c>
      <c r="N140" s="992" t="s">
        <v>162</v>
      </c>
      <c r="O140" s="992"/>
      <c r="P140" s="1352"/>
      <c r="Q140" s="1332"/>
      <c r="R140" s="1332"/>
      <c r="S140" s="1332"/>
      <c r="T140" s="1332"/>
      <c r="U140" s="1332"/>
      <c r="V140" s="1332"/>
      <c r="W140" s="1332"/>
      <c r="X140" s="1332"/>
      <c r="Y140" s="1332"/>
      <c r="Z140" s="1332"/>
      <c r="AA140" s="1332"/>
    </row>
    <row r="141" spans="2:27" ht="12" customHeight="1">
      <c r="B141" s="1332"/>
      <c r="C141" s="1332"/>
      <c r="D141" s="1332"/>
      <c r="E141" s="1332"/>
      <c r="F141" s="1332"/>
      <c r="G141" s="1332"/>
      <c r="H141" s="1336"/>
      <c r="I141" s="992" t="str">
        <f t="shared" si="1"/>
        <v>QuemaPoliestireno</v>
      </c>
      <c r="J141" s="1356" t="s">
        <v>1543</v>
      </c>
      <c r="K141" s="1357" t="s">
        <v>1527</v>
      </c>
      <c r="L141" s="1358">
        <v>3.3023562000000002</v>
      </c>
      <c r="M141" s="992" t="s">
        <v>139</v>
      </c>
      <c r="N141" s="992" t="s">
        <v>162</v>
      </c>
      <c r="O141" s="992"/>
      <c r="P141" s="1352"/>
      <c r="Q141" s="1332"/>
      <c r="R141" s="1332"/>
      <c r="S141" s="1332"/>
      <c r="T141" s="1332"/>
      <c r="U141" s="1332"/>
      <c r="V141" s="1332"/>
      <c r="W141" s="1332"/>
      <c r="X141" s="1332"/>
      <c r="Y141" s="1332"/>
      <c r="Z141" s="1332"/>
      <c r="AA141" s="1332"/>
    </row>
    <row r="142" spans="2:27" ht="12" customHeight="1">
      <c r="B142" s="1332"/>
      <c r="C142" s="1332"/>
      <c r="D142" s="1332"/>
      <c r="E142" s="1332"/>
      <c r="F142" s="1332"/>
      <c r="G142" s="1332"/>
      <c r="H142" s="1336"/>
      <c r="I142" s="992" t="str">
        <f t="shared" si="1"/>
        <v>QuemaPropileno</v>
      </c>
      <c r="J142" s="1356" t="s">
        <v>1543</v>
      </c>
      <c r="K142" s="1357" t="s">
        <v>1561</v>
      </c>
      <c r="L142" s="1358">
        <v>2.6662561999999999</v>
      </c>
      <c r="M142" s="992" t="s">
        <v>139</v>
      </c>
      <c r="N142" s="992" t="s">
        <v>162</v>
      </c>
      <c r="O142" s="992"/>
      <c r="P142" s="1352"/>
      <c r="Q142" s="1332"/>
      <c r="R142" s="1332"/>
      <c r="S142" s="1332"/>
      <c r="T142" s="1332"/>
      <c r="U142" s="1332"/>
      <c r="V142" s="1332"/>
      <c r="W142" s="1332"/>
      <c r="X142" s="1332"/>
      <c r="Y142" s="1332"/>
      <c r="Z142" s="1332"/>
      <c r="AA142" s="1332"/>
    </row>
    <row r="143" spans="2:27" ht="12" customHeight="1">
      <c r="B143" s="1332"/>
      <c r="C143" s="1332"/>
      <c r="D143" s="1332"/>
      <c r="E143" s="1332"/>
      <c r="F143" s="1332"/>
      <c r="G143" s="1332"/>
      <c r="H143" s="1336"/>
      <c r="I143" s="992" t="str">
        <f t="shared" si="1"/>
        <v>QuemaPoliuretano</v>
      </c>
      <c r="J143" s="1356" t="s">
        <v>1543</v>
      </c>
      <c r="K143" s="1357" t="s">
        <v>1529</v>
      </c>
      <c r="L143" s="1358">
        <v>2.4713561999999998</v>
      </c>
      <c r="M143" s="992" t="s">
        <v>139</v>
      </c>
      <c r="N143" s="992" t="s">
        <v>162</v>
      </c>
      <c r="O143" s="992"/>
      <c r="P143" s="1352"/>
      <c r="Q143" s="1332"/>
      <c r="R143" s="1332"/>
      <c r="S143" s="1332"/>
      <c r="T143" s="1332"/>
      <c r="U143" s="1332"/>
      <c r="V143" s="1332"/>
      <c r="W143" s="1332"/>
      <c r="X143" s="1332"/>
      <c r="Y143" s="1332"/>
      <c r="Z143" s="1332"/>
      <c r="AA143" s="1332"/>
    </row>
    <row r="144" spans="2:27" ht="12" customHeight="1">
      <c r="B144" s="1332"/>
      <c r="C144" s="1332"/>
      <c r="D144" s="1332"/>
      <c r="E144" s="1332"/>
      <c r="F144" s="1332"/>
      <c r="G144" s="1332"/>
      <c r="H144" s="1336"/>
      <c r="I144" s="992" t="str">
        <f t="shared" si="1"/>
        <v>QuemaPlástico</v>
      </c>
      <c r="J144" s="1356" t="s">
        <v>1543</v>
      </c>
      <c r="K144" s="992" t="s">
        <v>1364</v>
      </c>
      <c r="L144" s="1358">
        <v>2.4453562</v>
      </c>
      <c r="M144" s="992" t="s">
        <v>139</v>
      </c>
      <c r="N144" s="992" t="s">
        <v>162</v>
      </c>
      <c r="O144" s="992"/>
      <c r="P144" s="1352"/>
      <c r="Q144" s="1332"/>
      <c r="R144" s="1332"/>
      <c r="S144" s="1332"/>
      <c r="T144" s="1332"/>
      <c r="U144" s="1332"/>
      <c r="V144" s="1332"/>
      <c r="W144" s="1332"/>
      <c r="X144" s="1332"/>
      <c r="Y144" s="1332"/>
      <c r="Z144" s="1332"/>
      <c r="AA144" s="1332"/>
    </row>
    <row r="145" spans="2:27" ht="12" customHeight="1">
      <c r="B145" s="1332"/>
      <c r="C145" s="1332"/>
      <c r="D145" s="1332"/>
      <c r="E145" s="1332"/>
      <c r="F145" s="1332"/>
      <c r="G145" s="1332"/>
      <c r="H145" s="1336"/>
      <c r="I145" s="992" t="str">
        <f t="shared" si="1"/>
        <v>QuemaPapel</v>
      </c>
      <c r="J145" s="1356" t="s">
        <v>1543</v>
      </c>
      <c r="K145" s="992" t="s">
        <v>1346</v>
      </c>
      <c r="L145" s="1358">
        <v>0.19453124999999999</v>
      </c>
      <c r="M145" s="992" t="s">
        <v>139</v>
      </c>
      <c r="N145" s="992" t="s">
        <v>162</v>
      </c>
      <c r="O145" s="992"/>
      <c r="P145" s="1352"/>
      <c r="Q145" s="1332"/>
      <c r="R145" s="1332"/>
      <c r="S145" s="1332"/>
      <c r="T145" s="1332"/>
      <c r="U145" s="1332"/>
      <c r="V145" s="1332"/>
      <c r="W145" s="1332"/>
      <c r="X145" s="1332"/>
      <c r="Y145" s="1332"/>
      <c r="Z145" s="1332"/>
      <c r="AA145" s="1332"/>
    </row>
    <row r="146" spans="2:27" ht="12" customHeight="1">
      <c r="B146" s="1332"/>
      <c r="C146" s="1332"/>
      <c r="D146" s="1332"/>
      <c r="E146" s="1332"/>
      <c r="F146" s="1332"/>
      <c r="G146" s="1332"/>
      <c r="H146" s="1336"/>
      <c r="I146" s="992" t="str">
        <f t="shared" si="1"/>
        <v>QuemaCartón</v>
      </c>
      <c r="J146" s="1356" t="s">
        <v>1543</v>
      </c>
      <c r="K146" s="1357" t="s">
        <v>1344</v>
      </c>
      <c r="L146" s="1358">
        <v>0.19453124999999999</v>
      </c>
      <c r="M146" s="992" t="s">
        <v>139</v>
      </c>
      <c r="N146" s="992" t="s">
        <v>162</v>
      </c>
      <c r="O146" s="992"/>
      <c r="P146" s="1352"/>
      <c r="Q146" s="1332"/>
      <c r="R146" s="1332"/>
      <c r="S146" s="1332"/>
      <c r="T146" s="1332"/>
      <c r="U146" s="1332"/>
      <c r="V146" s="1332"/>
      <c r="W146" s="1332"/>
      <c r="X146" s="1332"/>
      <c r="Y146" s="1332"/>
      <c r="Z146" s="1332"/>
      <c r="AA146" s="1332"/>
    </row>
    <row r="147" spans="2:27" ht="12" customHeight="1">
      <c r="B147" s="1332"/>
      <c r="C147" s="1332"/>
      <c r="D147" s="1332"/>
      <c r="E147" s="1332"/>
      <c r="F147" s="1332"/>
      <c r="G147" s="1332"/>
      <c r="H147" s="1336"/>
      <c r="I147" s="992" t="str">
        <f t="shared" si="1"/>
        <v>QuemaMadera</v>
      </c>
      <c r="J147" s="1356" t="s">
        <v>1543</v>
      </c>
      <c r="K147" s="1357" t="s">
        <v>1361</v>
      </c>
      <c r="L147" s="1358">
        <v>0.19453124999999999</v>
      </c>
      <c r="M147" s="992" t="s">
        <v>139</v>
      </c>
      <c r="N147" s="992" t="s">
        <v>162</v>
      </c>
      <c r="O147" s="992"/>
      <c r="P147" s="1352"/>
      <c r="Q147" s="1332"/>
      <c r="R147" s="1332"/>
      <c r="S147" s="1332"/>
      <c r="T147" s="1332"/>
      <c r="U147" s="1332"/>
      <c r="V147" s="1332"/>
      <c r="W147" s="1332"/>
      <c r="X147" s="1332"/>
      <c r="Y147" s="1332"/>
      <c r="Z147" s="1332"/>
      <c r="AA147" s="1332"/>
    </row>
    <row r="148" spans="2:27" ht="15" customHeight="1">
      <c r="B148" s="1332"/>
      <c r="C148" s="1332"/>
      <c r="D148" s="1332"/>
      <c r="E148" s="1332"/>
      <c r="F148" s="1332"/>
      <c r="G148" s="1332"/>
      <c r="H148" s="1336"/>
      <c r="I148" s="992" t="str">
        <f t="shared" si="1"/>
        <v>ReciclajePE alta densidad</v>
      </c>
      <c r="J148" s="1356" t="s">
        <v>1512</v>
      </c>
      <c r="K148" s="1357" t="s">
        <v>1358</v>
      </c>
      <c r="L148" s="1358">
        <v>0</v>
      </c>
      <c r="M148" s="992" t="s">
        <v>139</v>
      </c>
      <c r="N148" s="992" t="s">
        <v>162</v>
      </c>
      <c r="O148" s="992" t="s">
        <v>4129</v>
      </c>
      <c r="P148" s="1352"/>
      <c r="Q148" s="1332"/>
      <c r="R148" s="1332"/>
      <c r="S148" s="1332"/>
      <c r="T148" s="1332"/>
      <c r="U148" s="1332"/>
      <c r="V148" s="1332"/>
      <c r="W148" s="1332"/>
      <c r="X148" s="1332"/>
      <c r="Y148" s="1332"/>
      <c r="Z148" s="1332"/>
      <c r="AA148" s="1332"/>
    </row>
    <row r="149" spans="2:27" ht="12" customHeight="1">
      <c r="B149" s="1332"/>
      <c r="C149" s="1332"/>
      <c r="D149" s="1332"/>
      <c r="E149" s="1332"/>
      <c r="F149" s="1332"/>
      <c r="G149" s="1332"/>
      <c r="H149" s="1336"/>
      <c r="I149" s="992" t="str">
        <f t="shared" si="1"/>
        <v>ReciclajePE baja densidad</v>
      </c>
      <c r="J149" s="1356" t="s">
        <v>1512</v>
      </c>
      <c r="K149" s="1357" t="s">
        <v>1356</v>
      </c>
      <c r="L149" s="1358">
        <v>0</v>
      </c>
      <c r="M149" s="992" t="s">
        <v>139</v>
      </c>
      <c r="N149" s="992" t="s">
        <v>162</v>
      </c>
      <c r="O149" s="992" t="s">
        <v>4129</v>
      </c>
      <c r="P149" s="1352"/>
      <c r="Q149" s="1332"/>
      <c r="R149" s="1332"/>
      <c r="S149" s="1332"/>
      <c r="T149" s="1332"/>
      <c r="U149" s="1332"/>
      <c r="V149" s="1332"/>
      <c r="W149" s="1332"/>
      <c r="X149" s="1332"/>
      <c r="Y149" s="1332"/>
      <c r="Z149" s="1332"/>
      <c r="AA149" s="1332"/>
    </row>
    <row r="150" spans="2:27" ht="12" customHeight="1">
      <c r="B150" s="1332"/>
      <c r="C150" s="1332"/>
      <c r="D150" s="1332"/>
      <c r="E150" s="1332"/>
      <c r="F150" s="1332"/>
      <c r="G150" s="1332"/>
      <c r="H150" s="1336"/>
      <c r="I150" s="992" t="str">
        <f t="shared" si="1"/>
        <v>ReciclajePET</v>
      </c>
      <c r="J150" s="1356" t="s">
        <v>1512</v>
      </c>
      <c r="K150" s="1357" t="s">
        <v>1562</v>
      </c>
      <c r="L150" s="1358">
        <v>0</v>
      </c>
      <c r="M150" s="992" t="s">
        <v>139</v>
      </c>
      <c r="N150" s="992" t="s">
        <v>162</v>
      </c>
      <c r="O150" s="992" t="s">
        <v>4129</v>
      </c>
      <c r="P150" s="1352"/>
      <c r="Q150" s="1332"/>
      <c r="R150" s="1332"/>
      <c r="S150" s="1332"/>
      <c r="T150" s="1332"/>
      <c r="U150" s="1332"/>
      <c r="V150" s="1332"/>
      <c r="W150" s="1332"/>
      <c r="X150" s="1332"/>
      <c r="Y150" s="1332"/>
      <c r="Z150" s="1332"/>
      <c r="AA150" s="1332"/>
    </row>
    <row r="151" spans="2:27" ht="12" customHeight="1">
      <c r="B151" s="1332"/>
      <c r="C151" s="1332"/>
      <c r="D151" s="1332"/>
      <c r="E151" s="1332"/>
      <c r="F151" s="1332"/>
      <c r="G151" s="1332"/>
      <c r="H151" s="1336"/>
      <c r="I151" s="992" t="str">
        <f t="shared" si="1"/>
        <v>ReciclajePVC</v>
      </c>
      <c r="J151" s="1356" t="s">
        <v>1512</v>
      </c>
      <c r="K151" s="1357" t="s">
        <v>1563</v>
      </c>
      <c r="L151" s="1358">
        <v>0</v>
      </c>
      <c r="M151" s="992" t="s">
        <v>139</v>
      </c>
      <c r="N151" s="992" t="s">
        <v>162</v>
      </c>
      <c r="O151" s="992" t="s">
        <v>4129</v>
      </c>
      <c r="P151" s="1352"/>
      <c r="Q151" s="1332"/>
      <c r="R151" s="1332"/>
      <c r="S151" s="1332"/>
      <c r="T151" s="1332"/>
      <c r="U151" s="1332"/>
      <c r="V151" s="1332"/>
      <c r="W151" s="1332"/>
      <c r="X151" s="1332"/>
      <c r="Y151" s="1332"/>
      <c r="Z151" s="1332"/>
      <c r="AA151" s="1332"/>
    </row>
    <row r="152" spans="2:27" ht="12" customHeight="1">
      <c r="B152" s="1332"/>
      <c r="C152" s="1332"/>
      <c r="D152" s="1332"/>
      <c r="E152" s="1332"/>
      <c r="F152" s="1332"/>
      <c r="G152" s="1332"/>
      <c r="H152" s="1336"/>
      <c r="I152" s="992" t="str">
        <f t="shared" si="1"/>
        <v>ReciclajePoliestireno</v>
      </c>
      <c r="J152" s="1356" t="s">
        <v>1512</v>
      </c>
      <c r="K152" s="1357" t="s">
        <v>1527</v>
      </c>
      <c r="L152" s="1358">
        <v>0</v>
      </c>
      <c r="M152" s="992" t="s">
        <v>139</v>
      </c>
      <c r="N152" s="992" t="s">
        <v>162</v>
      </c>
      <c r="O152" s="992" t="s">
        <v>4129</v>
      </c>
      <c r="P152" s="1352"/>
      <c r="Q152" s="1332"/>
      <c r="R152" s="1332"/>
      <c r="S152" s="1332"/>
      <c r="T152" s="1332"/>
      <c r="U152" s="1332"/>
      <c r="V152" s="1332"/>
      <c r="W152" s="1332"/>
      <c r="X152" s="1332"/>
      <c r="Y152" s="1332"/>
      <c r="Z152" s="1332"/>
      <c r="AA152" s="1332"/>
    </row>
    <row r="153" spans="2:27" ht="12" customHeight="1">
      <c r="B153" s="1332"/>
      <c r="C153" s="1332"/>
      <c r="D153" s="1332"/>
      <c r="E153" s="1332"/>
      <c r="F153" s="1332"/>
      <c r="G153" s="1332"/>
      <c r="H153" s="1336"/>
      <c r="I153" s="992" t="str">
        <f t="shared" si="1"/>
        <v>ReciclajePropileno</v>
      </c>
      <c r="J153" s="1356" t="s">
        <v>1512</v>
      </c>
      <c r="K153" s="1357" t="s">
        <v>1561</v>
      </c>
      <c r="L153" s="1358">
        <v>0</v>
      </c>
      <c r="M153" s="992" t="s">
        <v>139</v>
      </c>
      <c r="N153" s="992" t="s">
        <v>162</v>
      </c>
      <c r="O153" s="992" t="s">
        <v>4129</v>
      </c>
      <c r="P153" s="1352"/>
      <c r="Q153" s="1332"/>
      <c r="R153" s="1332"/>
      <c r="S153" s="1332"/>
      <c r="T153" s="1332"/>
      <c r="U153" s="1332"/>
      <c r="V153" s="1332"/>
      <c r="W153" s="1332"/>
      <c r="X153" s="1332"/>
      <c r="Y153" s="1332"/>
      <c r="Z153" s="1332"/>
      <c r="AA153" s="1332"/>
    </row>
    <row r="154" spans="2:27" ht="12" customHeight="1">
      <c r="B154" s="1332"/>
      <c r="C154" s="1332"/>
      <c r="D154" s="1332"/>
      <c r="E154" s="1332"/>
      <c r="F154" s="1332"/>
      <c r="G154" s="1332"/>
      <c r="H154" s="1336"/>
      <c r="I154" s="992" t="str">
        <f t="shared" si="1"/>
        <v>ReciclajePoliuretano</v>
      </c>
      <c r="J154" s="1356" t="s">
        <v>1512</v>
      </c>
      <c r="K154" s="1357" t="s">
        <v>1529</v>
      </c>
      <c r="L154" s="1358">
        <v>0</v>
      </c>
      <c r="M154" s="992" t="s">
        <v>139</v>
      </c>
      <c r="N154" s="992" t="s">
        <v>162</v>
      </c>
      <c r="O154" s="992" t="s">
        <v>4129</v>
      </c>
      <c r="P154" s="1352"/>
      <c r="Q154" s="1332"/>
      <c r="R154" s="1332"/>
      <c r="S154" s="1332"/>
      <c r="T154" s="1332"/>
      <c r="U154" s="1332"/>
      <c r="V154" s="1332"/>
      <c r="W154" s="1332"/>
      <c r="X154" s="1332"/>
      <c r="Y154" s="1332"/>
      <c r="Z154" s="1332"/>
      <c r="AA154" s="1332"/>
    </row>
    <row r="155" spans="2:27" ht="12" customHeight="1">
      <c r="B155" s="1332"/>
      <c r="C155" s="1332"/>
      <c r="D155" s="1332"/>
      <c r="E155" s="1332"/>
      <c r="F155" s="1332"/>
      <c r="G155" s="1332"/>
      <c r="H155" s="1336"/>
      <c r="I155" s="992" t="str">
        <f t="shared" si="1"/>
        <v>ReciclajePlástico</v>
      </c>
      <c r="J155" s="1356" t="s">
        <v>1512</v>
      </c>
      <c r="K155" s="992" t="s">
        <v>1364</v>
      </c>
      <c r="L155" s="1358">
        <v>0</v>
      </c>
      <c r="M155" s="992" t="s">
        <v>139</v>
      </c>
      <c r="N155" s="992" t="s">
        <v>162</v>
      </c>
      <c r="O155" s="992" t="s">
        <v>4129</v>
      </c>
      <c r="P155" s="1352"/>
      <c r="Q155" s="1332"/>
      <c r="R155" s="1332"/>
      <c r="S155" s="1332"/>
      <c r="T155" s="1332"/>
      <c r="U155" s="1332"/>
      <c r="V155" s="1332"/>
      <c r="W155" s="1332"/>
      <c r="X155" s="1332"/>
      <c r="Y155" s="1332"/>
      <c r="Z155" s="1332"/>
      <c r="AA155" s="1332"/>
    </row>
    <row r="156" spans="2:27" ht="12" customHeight="1">
      <c r="B156" s="1332"/>
      <c r="C156" s="1332"/>
      <c r="D156" s="1332"/>
      <c r="E156" s="1332"/>
      <c r="F156" s="1332"/>
      <c r="G156" s="1332"/>
      <c r="H156" s="1336"/>
      <c r="I156" s="992" t="str">
        <f t="shared" si="1"/>
        <v>ReciclajePapel</v>
      </c>
      <c r="J156" s="1356" t="s">
        <v>1512</v>
      </c>
      <c r="K156" s="992" t="s">
        <v>1346</v>
      </c>
      <c r="L156" s="1358">
        <v>0</v>
      </c>
      <c r="M156" s="992" t="s">
        <v>139</v>
      </c>
      <c r="N156" s="992" t="s">
        <v>1559</v>
      </c>
      <c r="O156" s="992"/>
      <c r="P156" s="1352"/>
      <c r="Q156" s="1332"/>
      <c r="R156" s="1332"/>
      <c r="S156" s="1332"/>
      <c r="T156" s="1332"/>
      <c r="U156" s="1332"/>
      <c r="V156" s="1332"/>
      <c r="W156" s="1332"/>
      <c r="X156" s="1332"/>
      <c r="Y156" s="1332"/>
      <c r="Z156" s="1332"/>
      <c r="AA156" s="1332"/>
    </row>
    <row r="157" spans="2:27" ht="12" customHeight="1">
      <c r="B157" s="1332"/>
      <c r="C157" s="1332"/>
      <c r="D157" s="1332"/>
      <c r="E157" s="1332"/>
      <c r="F157" s="1332"/>
      <c r="G157" s="1332"/>
      <c r="H157" s="1336"/>
      <c r="I157" s="992" t="str">
        <f t="shared" si="1"/>
        <v>ReciclajeCartón</v>
      </c>
      <c r="J157" s="1365" t="s">
        <v>1512</v>
      </c>
      <c r="K157" s="928" t="s">
        <v>1344</v>
      </c>
      <c r="L157" s="1358">
        <v>0</v>
      </c>
      <c r="M157" s="991" t="s">
        <v>139</v>
      </c>
      <c r="N157" s="991" t="s">
        <v>162</v>
      </c>
      <c r="O157" s="991" t="s">
        <v>4128</v>
      </c>
      <c r="P157" s="1352"/>
      <c r="Q157" s="1332"/>
      <c r="R157" s="1332"/>
      <c r="S157" s="1332"/>
      <c r="T157" s="1332"/>
      <c r="U157" s="1332"/>
      <c r="V157" s="1332"/>
      <c r="W157" s="1332"/>
      <c r="X157" s="1332"/>
      <c r="Y157" s="1332"/>
      <c r="Z157" s="1332"/>
      <c r="AA157" s="1332"/>
    </row>
    <row r="158" spans="2:27" ht="12" customHeight="1">
      <c r="B158" s="1332"/>
      <c r="C158" s="1332"/>
      <c r="D158" s="1332"/>
      <c r="E158" s="1332"/>
      <c r="F158" s="1332"/>
      <c r="G158" s="1332"/>
      <c r="H158" s="1336"/>
      <c r="I158" s="992" t="str">
        <f t="shared" si="1"/>
        <v>ReciclajeAluminio</v>
      </c>
      <c r="J158" s="1356" t="s">
        <v>1512</v>
      </c>
      <c r="K158" s="1357" t="s">
        <v>1565</v>
      </c>
      <c r="L158" s="1358">
        <v>0</v>
      </c>
      <c r="M158" s="992" t="s">
        <v>139</v>
      </c>
      <c r="N158" s="992" t="s">
        <v>162</v>
      </c>
      <c r="O158" s="992"/>
      <c r="P158" s="1352"/>
      <c r="Q158" s="1332"/>
      <c r="R158" s="1332"/>
      <c r="S158" s="1332"/>
      <c r="T158" s="1332"/>
      <c r="U158" s="1332"/>
      <c r="V158" s="1332"/>
      <c r="W158" s="1332"/>
      <c r="X158" s="1332"/>
      <c r="Y158" s="1332"/>
      <c r="Z158" s="1332"/>
      <c r="AA158" s="1332"/>
    </row>
    <row r="159" spans="2:27" ht="12" customHeight="1">
      <c r="B159" s="1332"/>
      <c r="C159" s="1332"/>
      <c r="D159" s="1332"/>
      <c r="E159" s="1332"/>
      <c r="F159" s="1332"/>
      <c r="G159" s="1332"/>
      <c r="H159" s="1336"/>
      <c r="I159" s="992" t="str">
        <f t="shared" si="1"/>
        <v>ReciclajeOtros metales</v>
      </c>
      <c r="J159" s="1356" t="s">
        <v>1512</v>
      </c>
      <c r="K159" s="1357" t="s">
        <v>1566</v>
      </c>
      <c r="L159" s="1358">
        <v>0</v>
      </c>
      <c r="M159" s="992" t="s">
        <v>139</v>
      </c>
      <c r="N159" s="992" t="s">
        <v>1559</v>
      </c>
      <c r="O159" s="992" t="s">
        <v>4130</v>
      </c>
      <c r="P159" s="1352"/>
      <c r="Q159" s="1332"/>
      <c r="R159" s="1332"/>
      <c r="S159" s="1332"/>
      <c r="T159" s="1332"/>
      <c r="U159" s="1332"/>
      <c r="V159" s="1332"/>
      <c r="W159" s="1332"/>
      <c r="X159" s="1332"/>
      <c r="Y159" s="1332"/>
      <c r="Z159" s="1332"/>
      <c r="AA159" s="1332"/>
    </row>
    <row r="160" spans="2:27" ht="12" customHeight="1">
      <c r="B160" s="1332"/>
      <c r="C160" s="1332"/>
      <c r="D160" s="1332"/>
      <c r="E160" s="1332"/>
      <c r="F160" s="1332"/>
      <c r="G160" s="1332"/>
      <c r="H160" s="1336"/>
      <c r="I160" s="992" t="str">
        <f t="shared" si="1"/>
        <v>ReciclajeMetal</v>
      </c>
      <c r="J160" s="1356" t="s">
        <v>1512</v>
      </c>
      <c r="K160" s="1357" t="s">
        <v>1525</v>
      </c>
      <c r="L160" s="1358">
        <v>0</v>
      </c>
      <c r="M160" s="992" t="s">
        <v>139</v>
      </c>
      <c r="N160" s="992" t="s">
        <v>1559</v>
      </c>
      <c r="O160" s="992"/>
      <c r="P160" s="1352"/>
      <c r="Q160" s="1332"/>
      <c r="R160" s="1332"/>
      <c r="S160" s="1332"/>
      <c r="T160" s="1332"/>
      <c r="U160" s="1332"/>
      <c r="V160" s="1332"/>
      <c r="W160" s="1332"/>
      <c r="X160" s="1332"/>
      <c r="Y160" s="1332"/>
      <c r="Z160" s="1332"/>
      <c r="AA160" s="1332"/>
    </row>
    <row r="161" spans="2:27" ht="12" customHeight="1">
      <c r="B161" s="1332"/>
      <c r="C161" s="1332"/>
      <c r="D161" s="1332"/>
      <c r="E161" s="1332"/>
      <c r="F161" s="1332"/>
      <c r="G161" s="1332"/>
      <c r="H161" s="1336"/>
      <c r="I161" s="992" t="str">
        <f t="shared" si="1"/>
        <v>ReciclajeMadera</v>
      </c>
      <c r="J161" s="1356" t="s">
        <v>1512</v>
      </c>
      <c r="K161" s="1357" t="s">
        <v>1361</v>
      </c>
      <c r="L161" s="1358">
        <v>0</v>
      </c>
      <c r="M161" s="992" t="s">
        <v>139</v>
      </c>
      <c r="N161" s="992" t="s">
        <v>1559</v>
      </c>
      <c r="O161" s="992"/>
      <c r="P161" s="1352"/>
      <c r="Q161" s="1332"/>
      <c r="R161" s="1332"/>
      <c r="S161" s="1332"/>
      <c r="T161" s="1332"/>
      <c r="U161" s="1332"/>
      <c r="V161" s="1332"/>
      <c r="W161" s="1332"/>
      <c r="X161" s="1332"/>
      <c r="Y161" s="1332"/>
      <c r="Z161" s="1332"/>
      <c r="AA161" s="1332"/>
    </row>
    <row r="162" spans="2:27" ht="12" customHeight="1">
      <c r="B162" s="1332"/>
      <c r="C162" s="1332"/>
      <c r="D162" s="1332"/>
      <c r="E162" s="1332"/>
      <c r="F162" s="1332"/>
      <c r="G162" s="1332"/>
      <c r="H162" s="1336"/>
      <c r="I162" s="992" t="str">
        <f t="shared" si="1"/>
        <v>TratamientoResiduos peligrosos</v>
      </c>
      <c r="J162" s="992" t="s">
        <v>1499</v>
      </c>
      <c r="K162" s="992" t="s">
        <v>1531</v>
      </c>
      <c r="L162" s="1358">
        <v>20.113185999999999</v>
      </c>
      <c r="M162" s="992" t="s">
        <v>139</v>
      </c>
      <c r="N162" s="992" t="s">
        <v>1559</v>
      </c>
      <c r="O162" s="992"/>
      <c r="P162" s="1352"/>
      <c r="Q162" s="1332"/>
      <c r="R162" s="1332"/>
      <c r="S162" s="1332"/>
      <c r="T162" s="1332"/>
      <c r="U162" s="1332"/>
      <c r="V162" s="1332"/>
      <c r="W162" s="1332"/>
      <c r="X162" s="1332"/>
      <c r="Y162" s="1332"/>
      <c r="Z162" s="1332"/>
      <c r="AA162" s="1332"/>
    </row>
    <row r="163" spans="2:27" ht="12" customHeight="1">
      <c r="B163" s="1332"/>
      <c r="C163" s="1332"/>
      <c r="D163" s="1332"/>
      <c r="E163" s="1332"/>
      <c r="F163" s="1332"/>
      <c r="G163" s="1332"/>
      <c r="H163" s="1336"/>
      <c r="I163" s="992" t="str">
        <f t="shared" si="1"/>
        <v>Compostaje industrialOrgánico</v>
      </c>
      <c r="J163" s="992" t="s">
        <v>1519</v>
      </c>
      <c r="K163" s="992" t="s">
        <v>1518</v>
      </c>
      <c r="L163" s="1358">
        <v>5.9435494999999998E-2</v>
      </c>
      <c r="M163" s="992" t="s">
        <v>139</v>
      </c>
      <c r="N163" s="992" t="s">
        <v>162</v>
      </c>
      <c r="O163" s="992"/>
      <c r="P163" s="1352"/>
      <c r="Q163" s="1332"/>
      <c r="R163" s="1332"/>
      <c r="S163" s="1332"/>
      <c r="T163" s="1332"/>
      <c r="U163" s="1332"/>
      <c r="V163" s="1332"/>
      <c r="W163" s="1332"/>
      <c r="X163" s="1332"/>
      <c r="Y163" s="1332"/>
      <c r="Z163" s="1332"/>
      <c r="AA163" s="1332"/>
    </row>
    <row r="164" spans="2:27" ht="12" customHeight="1">
      <c r="B164" s="1332"/>
      <c r="C164" s="1332"/>
      <c r="D164" s="1332"/>
      <c r="E164" s="1332"/>
      <c r="F164" s="1332"/>
      <c r="G164" s="1332"/>
      <c r="H164" s="1336"/>
      <c r="I164" s="992" t="str">
        <f t="shared" si="1"/>
        <v>VertederoOrgánico</v>
      </c>
      <c r="J164" s="992" t="s">
        <v>1564</v>
      </c>
      <c r="K164" s="992" t="s">
        <v>1518</v>
      </c>
      <c r="L164" s="1358">
        <v>0.61990725000000002</v>
      </c>
      <c r="M164" s="992" t="s">
        <v>139</v>
      </c>
      <c r="N164" s="992" t="s">
        <v>162</v>
      </c>
      <c r="O164" s="992"/>
      <c r="P164" s="1352"/>
      <c r="Q164" s="1332"/>
      <c r="R164" s="1332"/>
      <c r="S164" s="1332"/>
      <c r="T164" s="1332"/>
      <c r="U164" s="1332"/>
      <c r="V164" s="1332"/>
      <c r="W164" s="1332"/>
      <c r="X164" s="1332"/>
      <c r="Y164" s="1332"/>
      <c r="Z164" s="1332"/>
      <c r="AA164" s="1332"/>
    </row>
    <row r="165" spans="2:27" ht="12" customHeight="1">
      <c r="B165" s="1332"/>
      <c r="C165" s="1332"/>
      <c r="D165" s="1332"/>
      <c r="E165" s="1332"/>
      <c r="F165" s="1332"/>
      <c r="G165" s="1332"/>
      <c r="H165" s="1336"/>
      <c r="I165" s="992" t="str">
        <f t="shared" si="1"/>
        <v>Compostaje domiciliarioOrgánico- Jardín</v>
      </c>
      <c r="J165" s="992" t="s">
        <v>4131</v>
      </c>
      <c r="K165" s="992" t="s">
        <v>4132</v>
      </c>
      <c r="L165" s="1358">
        <v>-2.3915143999999999E-2</v>
      </c>
      <c r="M165" s="992" t="s">
        <v>139</v>
      </c>
      <c r="N165" s="992" t="s">
        <v>162</v>
      </c>
      <c r="O165" s="992"/>
      <c r="P165" s="1352"/>
      <c r="Q165" s="1332"/>
      <c r="R165" s="1332"/>
      <c r="S165" s="1332"/>
      <c r="T165" s="1332"/>
      <c r="U165" s="1332"/>
      <c r="V165" s="1332"/>
      <c r="W165" s="1332"/>
      <c r="X165" s="1332"/>
      <c r="Y165" s="1332"/>
      <c r="Z165" s="1332"/>
      <c r="AA165" s="1332"/>
    </row>
    <row r="166" spans="2:27" ht="12" customHeight="1">
      <c r="B166" s="1332"/>
      <c r="C166" s="1332"/>
      <c r="D166" s="1332"/>
      <c r="E166" s="1332"/>
      <c r="F166" s="1332"/>
      <c r="G166" s="1332"/>
      <c r="H166" s="1336"/>
      <c r="I166" s="992" t="str">
        <f t="shared" si="1"/>
        <v>Compostaje domiciliarioOrgánico- Casa y jardín</v>
      </c>
      <c r="J166" s="992" t="s">
        <v>4131</v>
      </c>
      <c r="K166" s="992" t="s">
        <v>4133</v>
      </c>
      <c r="L166" s="1358">
        <v>-5.1539597999999999E-2</v>
      </c>
      <c r="M166" s="992" t="s">
        <v>139</v>
      </c>
      <c r="N166" s="992" t="s">
        <v>162</v>
      </c>
      <c r="O166" s="992"/>
      <c r="P166" s="1352"/>
      <c r="Q166" s="1332"/>
      <c r="R166" s="1332"/>
      <c r="S166" s="1332"/>
      <c r="T166" s="1332"/>
      <c r="U166" s="1332"/>
      <c r="V166" s="1332"/>
      <c r="W166" s="1332"/>
      <c r="X166" s="1332"/>
      <c r="Y166" s="1332"/>
      <c r="Z166" s="1332"/>
      <c r="AA166" s="1332"/>
    </row>
    <row r="167" spans="2:27" ht="12" customHeight="1">
      <c r="B167" s="1332"/>
      <c r="C167" s="1332"/>
      <c r="D167" s="1332"/>
      <c r="E167" s="1332"/>
      <c r="F167" s="1332"/>
      <c r="G167" s="1332"/>
      <c r="H167" s="1336"/>
      <c r="I167" s="992" t="str">
        <f t="shared" si="1"/>
        <v>TratamientoAguas residuales</v>
      </c>
      <c r="J167" s="992" t="s">
        <v>1499</v>
      </c>
      <c r="K167" s="992" t="s">
        <v>1567</v>
      </c>
      <c r="L167" s="1358">
        <v>5.6360894999999995E-4</v>
      </c>
      <c r="M167" s="992" t="s">
        <v>126</v>
      </c>
      <c r="N167" s="992" t="s">
        <v>162</v>
      </c>
      <c r="O167" s="992"/>
      <c r="P167" s="1352"/>
      <c r="Q167" s="1332"/>
      <c r="R167" s="1332"/>
      <c r="S167" s="1332"/>
      <c r="T167" s="1332"/>
      <c r="U167" s="1332"/>
      <c r="V167" s="1332"/>
      <c r="W167" s="1332"/>
      <c r="X167" s="1332"/>
      <c r="Y167" s="1332"/>
      <c r="Z167" s="1332"/>
      <c r="AA167" s="1332"/>
    </row>
    <row r="168" spans="2:27" ht="14.25" customHeight="1">
      <c r="B168" s="1332"/>
      <c r="C168" s="1332"/>
      <c r="D168" s="1332"/>
      <c r="E168" s="1332"/>
      <c r="F168" s="1332"/>
      <c r="G168" s="1332"/>
      <c r="H168" s="1332"/>
      <c r="I168" s="1350"/>
      <c r="J168" s="1592" t="s">
        <v>4134</v>
      </c>
      <c r="K168" s="1366" t="s">
        <v>821</v>
      </c>
      <c r="L168" s="1367">
        <v>0.12407724000000001</v>
      </c>
      <c r="M168" s="1368" t="s">
        <v>157</v>
      </c>
      <c r="N168" s="1368" t="s">
        <v>156</v>
      </c>
      <c r="O168" s="1350"/>
      <c r="P168" s="1332"/>
      <c r="Q168" s="1332"/>
      <c r="R168" s="1332"/>
      <c r="S168" s="1332"/>
      <c r="T168" s="1332"/>
      <c r="U168" s="1332"/>
      <c r="V168" s="1332"/>
      <c r="W168" s="1332"/>
      <c r="X168" s="1332"/>
      <c r="Y168" s="1332"/>
      <c r="Z168" s="1332"/>
      <c r="AA168" s="1332"/>
    </row>
    <row r="169" spans="2:27" ht="12" customHeight="1">
      <c r="B169" s="1332"/>
      <c r="C169" s="1332"/>
      <c r="D169" s="1332"/>
      <c r="E169" s="1332"/>
      <c r="F169" s="1332"/>
      <c r="G169" s="1332"/>
      <c r="H169" s="1332"/>
      <c r="I169" s="1332"/>
      <c r="J169" s="1387"/>
      <c r="K169" s="1369" t="s">
        <v>602</v>
      </c>
      <c r="L169" s="1370">
        <v>0.12407724000000001</v>
      </c>
      <c r="M169" s="1316" t="s">
        <v>157</v>
      </c>
      <c r="N169" s="1316" t="s">
        <v>156</v>
      </c>
      <c r="O169" s="1332"/>
      <c r="P169" s="1332"/>
      <c r="Q169" s="1332"/>
      <c r="R169" s="1332"/>
      <c r="S169" s="1332"/>
      <c r="T169" s="1332"/>
      <c r="U169" s="1332"/>
      <c r="V169" s="1332"/>
      <c r="W169" s="1332"/>
      <c r="X169" s="1332"/>
      <c r="Y169" s="1332"/>
      <c r="Z169" s="1332"/>
      <c r="AA169" s="1332"/>
    </row>
    <row r="170" spans="2:27" ht="12" customHeight="1">
      <c r="B170" s="1332"/>
      <c r="C170" s="1332"/>
      <c r="D170" s="1332"/>
      <c r="E170" s="1332"/>
      <c r="F170" s="1332"/>
      <c r="G170" s="1332"/>
      <c r="H170" s="1332"/>
      <c r="I170" s="1332"/>
      <c r="J170" s="1387"/>
      <c r="K170" s="1369" t="s">
        <v>4135</v>
      </c>
      <c r="L170" s="1371">
        <v>0.39383898000000001</v>
      </c>
      <c r="M170" s="1316" t="s">
        <v>157</v>
      </c>
      <c r="N170" s="1316" t="s">
        <v>156</v>
      </c>
      <c r="O170" s="1332"/>
      <c r="P170" s="1332"/>
      <c r="Q170" s="1332"/>
      <c r="R170" s="1332"/>
      <c r="S170" s="1332"/>
      <c r="T170" s="1332"/>
      <c r="U170" s="1332"/>
      <c r="V170" s="1332"/>
      <c r="W170" s="1332"/>
      <c r="X170" s="1332"/>
      <c r="Y170" s="1332"/>
      <c r="Z170" s="1332"/>
      <c r="AA170" s="1332"/>
    </row>
    <row r="171" spans="2:27" ht="12" customHeight="1">
      <c r="B171" s="1332"/>
      <c r="C171" s="1332"/>
      <c r="D171" s="1332"/>
      <c r="E171" s="1332"/>
      <c r="F171" s="1332"/>
      <c r="G171" s="1332"/>
      <c r="H171" s="1332"/>
      <c r="I171" s="1332"/>
      <c r="J171" s="1387"/>
      <c r="K171" s="1369" t="s">
        <v>618</v>
      </c>
      <c r="L171" s="1370">
        <v>0.37482599999999999</v>
      </c>
      <c r="M171" s="1316" t="s">
        <v>157</v>
      </c>
      <c r="N171" s="1316" t="s">
        <v>156</v>
      </c>
      <c r="O171" s="1332"/>
      <c r="P171" s="1332"/>
      <c r="Q171" s="1332"/>
      <c r="R171" s="1332"/>
      <c r="S171" s="1332"/>
      <c r="T171" s="1332"/>
      <c r="U171" s="1332"/>
      <c r="V171" s="1332"/>
      <c r="W171" s="1332"/>
      <c r="X171" s="1332"/>
      <c r="Y171" s="1332"/>
      <c r="Z171" s="1332"/>
      <c r="AA171" s="1332"/>
    </row>
    <row r="172" spans="2:27" ht="12" customHeight="1">
      <c r="B172" s="1332"/>
      <c r="C172" s="1332"/>
      <c r="D172" s="1332"/>
      <c r="E172" s="1332"/>
      <c r="F172" s="1332"/>
      <c r="G172" s="1332"/>
      <c r="H172" s="1332"/>
      <c r="I172" s="1332"/>
      <c r="J172" s="1387"/>
      <c r="K172" s="1369" t="s">
        <v>619</v>
      </c>
      <c r="L172" s="1370">
        <v>0.21332419999999999</v>
      </c>
      <c r="M172" s="1316" t="s">
        <v>157</v>
      </c>
      <c r="N172" s="1316" t="s">
        <v>156</v>
      </c>
      <c r="O172" s="1332"/>
      <c r="P172" s="1332"/>
      <c r="Q172" s="1332"/>
      <c r="R172" s="1332"/>
      <c r="S172" s="1332"/>
      <c r="T172" s="1332"/>
      <c r="U172" s="1332"/>
      <c r="V172" s="1332"/>
      <c r="W172" s="1332"/>
      <c r="X172" s="1332"/>
      <c r="Y172" s="1332"/>
      <c r="Z172" s="1332"/>
      <c r="AA172" s="1332"/>
    </row>
    <row r="173" spans="2:27" ht="12" customHeight="1">
      <c r="B173" s="1332"/>
      <c r="C173" s="1332"/>
      <c r="D173" s="1332"/>
      <c r="E173" s="1332"/>
      <c r="F173" s="1332"/>
      <c r="G173" s="1332"/>
      <c r="H173" s="1332"/>
      <c r="I173" s="1332"/>
      <c r="J173" s="1387"/>
      <c r="K173" s="1369" t="s">
        <v>601</v>
      </c>
      <c r="L173" s="1371">
        <v>0.24537962999999999</v>
      </c>
      <c r="M173" s="1316" t="s">
        <v>157</v>
      </c>
      <c r="N173" s="1316" t="s">
        <v>156</v>
      </c>
      <c r="O173" s="1332"/>
      <c r="P173" s="1332"/>
      <c r="Q173" s="1332"/>
      <c r="R173" s="1332"/>
      <c r="S173" s="1332"/>
      <c r="T173" s="1332"/>
      <c r="U173" s="1332"/>
      <c r="V173" s="1332"/>
      <c r="W173" s="1332"/>
      <c r="X173" s="1332"/>
      <c r="Y173" s="1332"/>
      <c r="Z173" s="1332"/>
      <c r="AA173" s="1332"/>
    </row>
    <row r="174" spans="2:27" ht="12" customHeight="1">
      <c r="B174" s="1332"/>
      <c r="C174" s="1332"/>
      <c r="D174" s="1332"/>
      <c r="E174" s="1332"/>
      <c r="F174" s="1332"/>
      <c r="G174" s="1332"/>
      <c r="H174" s="1332"/>
      <c r="I174" s="1332"/>
      <c r="J174" s="1387"/>
      <c r="K174" s="1369" t="s">
        <v>612</v>
      </c>
      <c r="L174" s="1370">
        <v>0.18015993</v>
      </c>
      <c r="M174" s="1316" t="s">
        <v>157</v>
      </c>
      <c r="N174" s="1316" t="s">
        <v>156</v>
      </c>
      <c r="O174" s="1332"/>
      <c r="P174" s="1332"/>
      <c r="Q174" s="1332"/>
      <c r="R174" s="1332"/>
      <c r="S174" s="1332"/>
      <c r="T174" s="1332"/>
      <c r="U174" s="1332"/>
      <c r="V174" s="1332"/>
      <c r="W174" s="1332"/>
      <c r="X174" s="1332"/>
      <c r="Y174" s="1332"/>
      <c r="Z174" s="1332"/>
      <c r="AA174" s="1332"/>
    </row>
    <row r="175" spans="2:27" ht="12" customHeight="1">
      <c r="B175" s="1332"/>
      <c r="C175" s="1332"/>
      <c r="D175" s="1332"/>
      <c r="E175" s="1332"/>
      <c r="F175" s="1332"/>
      <c r="G175" s="1332"/>
      <c r="H175" s="1332"/>
      <c r="I175" s="1332"/>
      <c r="J175" s="1387"/>
      <c r="K175" s="1372" t="s">
        <v>1575</v>
      </c>
      <c r="L175" s="1373">
        <v>0.34631561999999999</v>
      </c>
      <c r="M175" s="1374" t="s">
        <v>157</v>
      </c>
      <c r="N175" s="1374" t="s">
        <v>156</v>
      </c>
      <c r="O175" s="1332"/>
      <c r="P175" s="1332"/>
      <c r="Q175" s="1332"/>
      <c r="R175" s="1332"/>
      <c r="S175" s="1332"/>
      <c r="T175" s="1332"/>
      <c r="U175" s="1332"/>
      <c r="V175" s="1332"/>
      <c r="W175" s="1332"/>
      <c r="X175" s="1332"/>
      <c r="Y175" s="1332"/>
      <c r="Z175" s="1332"/>
      <c r="AA175" s="1332"/>
    </row>
    <row r="176" spans="2:27" ht="12" customHeight="1">
      <c r="B176" s="1332"/>
      <c r="C176" s="1332"/>
      <c r="D176" s="1332"/>
      <c r="E176" s="1332"/>
      <c r="F176" s="1332"/>
      <c r="G176" s="1332"/>
      <c r="H176" s="1332"/>
      <c r="I176" s="1332"/>
      <c r="J176" s="1387"/>
      <c r="K176" s="1369" t="s">
        <v>4136</v>
      </c>
      <c r="L176" s="1371">
        <v>0.77737266000000005</v>
      </c>
      <c r="M176" s="1316" t="s">
        <v>157</v>
      </c>
      <c r="N176" s="1316" t="s">
        <v>156</v>
      </c>
      <c r="O176" s="1332"/>
      <c r="P176" s="1332"/>
      <c r="Q176" s="1332"/>
      <c r="R176" s="1332"/>
      <c r="S176" s="1332"/>
      <c r="T176" s="1332"/>
      <c r="U176" s="1332"/>
      <c r="V176" s="1332"/>
      <c r="W176" s="1332"/>
      <c r="X176" s="1332"/>
      <c r="Y176" s="1332"/>
      <c r="Z176" s="1332"/>
      <c r="AA176" s="1332"/>
    </row>
    <row r="177" spans="2:27" ht="12" customHeight="1">
      <c r="B177" s="1332"/>
      <c r="C177" s="1332"/>
      <c r="D177" s="1332"/>
      <c r="E177" s="1332"/>
      <c r="F177" s="1332"/>
      <c r="G177" s="1332"/>
      <c r="H177" s="1332"/>
      <c r="I177" s="1332"/>
      <c r="J177" s="1387"/>
      <c r="K177" s="1369" t="s">
        <v>620</v>
      </c>
      <c r="L177" s="1370">
        <v>0.33101680999999999</v>
      </c>
      <c r="M177" s="1316" t="s">
        <v>157</v>
      </c>
      <c r="N177" s="1316" t="s">
        <v>156</v>
      </c>
      <c r="O177" s="1332"/>
      <c r="P177" s="1332"/>
      <c r="Q177" s="1332"/>
      <c r="R177" s="1332"/>
      <c r="S177" s="1332"/>
      <c r="T177" s="1332"/>
      <c r="U177" s="1332"/>
      <c r="V177" s="1332"/>
      <c r="W177" s="1332"/>
      <c r="X177" s="1332"/>
      <c r="Y177" s="1332"/>
      <c r="Z177" s="1332"/>
      <c r="AA177" s="1332"/>
    </row>
    <row r="178" spans="2:27" ht="12" customHeight="1">
      <c r="B178" s="1332"/>
      <c r="C178" s="1332"/>
      <c r="D178" s="1332"/>
      <c r="E178" s="1332"/>
      <c r="F178" s="1332"/>
      <c r="G178" s="1332"/>
      <c r="H178" s="1332"/>
      <c r="I178" s="1332"/>
      <c r="J178" s="1387"/>
      <c r="K178" s="1372" t="s">
        <v>1572</v>
      </c>
      <c r="L178" s="1375">
        <v>0.43240796999999997</v>
      </c>
      <c r="M178" s="1374" t="s">
        <v>157</v>
      </c>
      <c r="N178" s="1374" t="s">
        <v>156</v>
      </c>
      <c r="O178" s="1332"/>
      <c r="P178" s="1332"/>
      <c r="Q178" s="1332"/>
      <c r="R178" s="1332"/>
      <c r="S178" s="1332"/>
      <c r="T178" s="1332"/>
      <c r="U178" s="1332"/>
      <c r="V178" s="1332"/>
      <c r="W178" s="1332"/>
      <c r="X178" s="1332"/>
      <c r="Y178" s="1332"/>
      <c r="Z178" s="1332"/>
      <c r="AA178" s="1332"/>
    </row>
    <row r="179" spans="2:27" ht="12" customHeight="1">
      <c r="B179" s="1332"/>
      <c r="C179" s="1332"/>
      <c r="D179" s="1332"/>
      <c r="E179" s="1332"/>
      <c r="F179" s="1332"/>
      <c r="G179" s="1332"/>
      <c r="H179" s="1332"/>
      <c r="I179" s="1332"/>
      <c r="J179" s="1387"/>
      <c r="K179" s="1369" t="s">
        <v>603</v>
      </c>
      <c r="L179" s="1371">
        <v>0.23149718999999999</v>
      </c>
      <c r="M179" s="1316" t="s">
        <v>157</v>
      </c>
      <c r="N179" s="1316" t="s">
        <v>156</v>
      </c>
      <c r="O179" s="1332"/>
      <c r="P179" s="1332"/>
      <c r="Q179" s="1332"/>
      <c r="R179" s="1332"/>
      <c r="S179" s="1332"/>
      <c r="T179" s="1332"/>
      <c r="U179" s="1332"/>
      <c r="V179" s="1332"/>
      <c r="W179" s="1332"/>
      <c r="X179" s="1332"/>
      <c r="Y179" s="1332"/>
      <c r="Z179" s="1332"/>
      <c r="AA179" s="1332"/>
    </row>
    <row r="180" spans="2:27" ht="12" customHeight="1">
      <c r="B180" s="1332"/>
      <c r="C180" s="1332"/>
      <c r="D180" s="1332"/>
      <c r="E180" s="1332"/>
      <c r="F180" s="1332"/>
      <c r="G180" s="1332"/>
      <c r="H180" s="1332"/>
      <c r="I180" s="1332"/>
      <c r="J180" s="1387"/>
      <c r="K180" s="1369" t="s">
        <v>4137</v>
      </c>
      <c r="L180" s="1371">
        <v>0.23560117999999999</v>
      </c>
      <c r="M180" s="1316" t="s">
        <v>157</v>
      </c>
      <c r="N180" s="1316" t="s">
        <v>156</v>
      </c>
      <c r="O180" s="1332"/>
      <c r="P180" s="1332"/>
      <c r="Q180" s="1332"/>
      <c r="R180" s="1332"/>
      <c r="S180" s="1332"/>
      <c r="T180" s="1332"/>
      <c r="U180" s="1332"/>
      <c r="V180" s="1332"/>
      <c r="W180" s="1332"/>
      <c r="X180" s="1332"/>
      <c r="Y180" s="1332"/>
      <c r="Z180" s="1332"/>
      <c r="AA180" s="1332"/>
    </row>
    <row r="181" spans="2:27" ht="12" customHeight="1">
      <c r="B181" s="1332"/>
      <c r="C181" s="1332"/>
      <c r="D181" s="1332"/>
      <c r="E181" s="1332"/>
      <c r="F181" s="1332"/>
      <c r="G181" s="1332"/>
      <c r="H181" s="1332"/>
      <c r="I181" s="1332"/>
      <c r="J181" s="1387"/>
      <c r="K181" s="1369" t="s">
        <v>611</v>
      </c>
      <c r="L181" s="1371">
        <v>0.23560117999999999</v>
      </c>
      <c r="M181" s="1316" t="s">
        <v>157</v>
      </c>
      <c r="N181" s="1316" t="s">
        <v>156</v>
      </c>
      <c r="O181" s="1332"/>
      <c r="P181" s="1332"/>
      <c r="Q181" s="1332"/>
      <c r="R181" s="1332"/>
      <c r="S181" s="1332"/>
      <c r="T181" s="1332"/>
      <c r="U181" s="1332"/>
      <c r="V181" s="1332"/>
      <c r="W181" s="1332"/>
      <c r="X181" s="1332"/>
      <c r="Y181" s="1332"/>
      <c r="Z181" s="1332"/>
      <c r="AA181" s="1332"/>
    </row>
    <row r="182" spans="2:27" ht="12" customHeight="1">
      <c r="B182" s="1332"/>
      <c r="C182" s="1332"/>
      <c r="D182" s="1332"/>
      <c r="E182" s="1332"/>
      <c r="F182" s="1332"/>
      <c r="G182" s="1332"/>
      <c r="H182" s="1332"/>
      <c r="I182" s="1332"/>
      <c r="J182" s="1387"/>
      <c r="K182" s="1369" t="s">
        <v>617</v>
      </c>
      <c r="L182" s="1371">
        <v>0.23560117999999999</v>
      </c>
      <c r="M182" s="1316" t="s">
        <v>157</v>
      </c>
      <c r="N182" s="1316" t="s">
        <v>156</v>
      </c>
      <c r="O182" s="1332"/>
      <c r="P182" s="1332"/>
      <c r="Q182" s="1332"/>
      <c r="R182" s="1332"/>
      <c r="S182" s="1332"/>
      <c r="T182" s="1332"/>
      <c r="U182" s="1332"/>
      <c r="V182" s="1332"/>
      <c r="W182" s="1332"/>
      <c r="X182" s="1332"/>
      <c r="Y182" s="1332"/>
      <c r="Z182" s="1332"/>
      <c r="AA182" s="1332"/>
    </row>
    <row r="183" spans="2:27" ht="12" customHeight="1">
      <c r="B183" s="1332"/>
      <c r="C183" s="1332"/>
      <c r="D183" s="1332"/>
      <c r="E183" s="1332"/>
      <c r="F183" s="1332"/>
      <c r="G183" s="1332"/>
      <c r="H183" s="1332"/>
      <c r="I183" s="1332"/>
      <c r="J183" s="1387"/>
      <c r="K183" s="1372" t="s">
        <v>604</v>
      </c>
      <c r="L183" s="1373">
        <v>0.20678606999999999</v>
      </c>
      <c r="M183" s="1374" t="s">
        <v>157</v>
      </c>
      <c r="N183" s="1374" t="s">
        <v>156</v>
      </c>
      <c r="O183" s="1332"/>
      <c r="P183" s="1332"/>
      <c r="Q183" s="1332"/>
      <c r="R183" s="1332"/>
      <c r="S183" s="1332"/>
      <c r="T183" s="1332"/>
      <c r="U183" s="1332"/>
      <c r="V183" s="1332"/>
      <c r="W183" s="1332"/>
      <c r="X183" s="1332"/>
      <c r="Y183" s="1332"/>
      <c r="Z183" s="1332"/>
      <c r="AA183" s="1332"/>
    </row>
    <row r="184" spans="2:27" ht="12" customHeight="1">
      <c r="B184" s="1332"/>
      <c r="C184" s="1332"/>
      <c r="D184" s="1332"/>
      <c r="E184" s="1332"/>
      <c r="F184" s="1332"/>
      <c r="G184" s="1332"/>
      <c r="H184" s="1332"/>
      <c r="I184" s="1332"/>
      <c r="J184" s="1387"/>
      <c r="K184" s="1372" t="s">
        <v>615</v>
      </c>
      <c r="L184" s="1373">
        <v>0.34631561999999999</v>
      </c>
      <c r="M184" s="1374" t="s">
        <v>157</v>
      </c>
      <c r="N184" s="1374" t="s">
        <v>156</v>
      </c>
      <c r="O184" s="1332"/>
      <c r="P184" s="1332"/>
      <c r="Q184" s="1332"/>
      <c r="R184" s="1332"/>
      <c r="S184" s="1332"/>
      <c r="T184" s="1332"/>
      <c r="U184" s="1332"/>
      <c r="V184" s="1332"/>
      <c r="W184" s="1332"/>
      <c r="X184" s="1332"/>
      <c r="Y184" s="1332"/>
      <c r="Z184" s="1332"/>
      <c r="AA184" s="1332"/>
    </row>
    <row r="185" spans="2:27" ht="12" customHeight="1">
      <c r="B185" s="1332"/>
      <c r="C185" s="1332"/>
      <c r="D185" s="1332"/>
      <c r="E185" s="1332"/>
      <c r="F185" s="1332"/>
      <c r="G185" s="1332"/>
      <c r="H185" s="1332"/>
      <c r="I185" s="1332"/>
      <c r="J185" s="1387"/>
      <c r="K185" s="1369" t="s">
        <v>613</v>
      </c>
      <c r="L185" s="1371">
        <v>0.23560117999999999</v>
      </c>
      <c r="M185" s="1316" t="s">
        <v>157</v>
      </c>
      <c r="N185" s="1316" t="s">
        <v>156</v>
      </c>
      <c r="O185" s="1332"/>
      <c r="P185" s="1332"/>
      <c r="Q185" s="1332"/>
      <c r="R185" s="1332"/>
      <c r="S185" s="1332"/>
      <c r="T185" s="1332"/>
      <c r="U185" s="1332"/>
      <c r="V185" s="1332"/>
      <c r="W185" s="1332"/>
      <c r="X185" s="1332"/>
      <c r="Y185" s="1332"/>
      <c r="Z185" s="1332"/>
      <c r="AA185" s="1332"/>
    </row>
    <row r="186" spans="2:27" ht="12" customHeight="1">
      <c r="B186" s="1332"/>
      <c r="C186" s="1332"/>
      <c r="D186" s="1332"/>
      <c r="E186" s="1332"/>
      <c r="F186" s="1332"/>
      <c r="G186" s="1332"/>
      <c r="H186" s="1332"/>
      <c r="I186" s="1332"/>
      <c r="J186" s="1387"/>
      <c r="K186" s="1369" t="s">
        <v>4138</v>
      </c>
      <c r="L186" s="1371">
        <v>0.23560117999999999</v>
      </c>
      <c r="M186" s="1316" t="s">
        <v>157</v>
      </c>
      <c r="N186" s="1316" t="s">
        <v>156</v>
      </c>
      <c r="O186" s="1332"/>
      <c r="P186" s="1332"/>
      <c r="Q186" s="1332"/>
      <c r="R186" s="1332"/>
      <c r="S186" s="1332"/>
      <c r="T186" s="1332"/>
      <c r="U186" s="1332"/>
      <c r="V186" s="1332"/>
      <c r="W186" s="1332"/>
      <c r="X186" s="1332"/>
      <c r="Y186" s="1332"/>
      <c r="Z186" s="1332"/>
      <c r="AA186" s="1332"/>
    </row>
    <row r="187" spans="2:27" ht="12" customHeight="1">
      <c r="B187" s="1332"/>
      <c r="C187" s="1332"/>
      <c r="D187" s="1332"/>
      <c r="E187" s="1332"/>
      <c r="F187" s="1332"/>
      <c r="G187" s="1332"/>
      <c r="H187" s="1332"/>
      <c r="I187" s="1332"/>
      <c r="J187" s="1387"/>
      <c r="K187" s="1369" t="s">
        <v>597</v>
      </c>
      <c r="L187" s="1371">
        <v>0.49813173999999999</v>
      </c>
      <c r="M187" s="1316" t="s">
        <v>157</v>
      </c>
      <c r="N187" s="1316" t="s">
        <v>156</v>
      </c>
      <c r="O187" s="1332"/>
      <c r="P187" s="1332"/>
      <c r="Q187" s="1332"/>
      <c r="R187" s="1332"/>
      <c r="S187" s="1332"/>
      <c r="T187" s="1332"/>
      <c r="U187" s="1332"/>
      <c r="V187" s="1332"/>
      <c r="W187" s="1332"/>
      <c r="X187" s="1332"/>
      <c r="Y187" s="1332"/>
      <c r="Z187" s="1332"/>
      <c r="AA187" s="1332"/>
    </row>
    <row r="188" spans="2:27" ht="12" customHeight="1">
      <c r="B188" s="1332"/>
      <c r="C188" s="1332"/>
      <c r="D188" s="1332"/>
      <c r="E188" s="1332"/>
      <c r="F188" s="1332"/>
      <c r="G188" s="1332"/>
      <c r="H188" s="1332"/>
      <c r="I188" s="1332"/>
      <c r="J188" s="1387"/>
      <c r="K188" s="1372" t="s">
        <v>1574</v>
      </c>
      <c r="L188" s="1373">
        <v>0.46994239999999998</v>
      </c>
      <c r="M188" s="1374" t="s">
        <v>157</v>
      </c>
      <c r="N188" s="1374" t="s">
        <v>156</v>
      </c>
      <c r="O188" s="1332"/>
      <c r="P188" s="1310"/>
      <c r="Q188" s="1310"/>
      <c r="R188" s="1310"/>
      <c r="S188" s="1310"/>
      <c r="T188" s="1310"/>
      <c r="U188" s="1310"/>
      <c r="V188" s="1310"/>
      <c r="W188" s="1332"/>
      <c r="X188" s="1332"/>
      <c r="Y188" s="1332"/>
      <c r="Z188" s="1332"/>
      <c r="AA188" s="1332"/>
    </row>
    <row r="189" spans="2:27" ht="12" customHeight="1">
      <c r="B189" s="1332"/>
      <c r="C189" s="1332"/>
      <c r="D189" s="1332"/>
      <c r="E189" s="1332"/>
      <c r="F189" s="1332"/>
      <c r="G189" s="1332"/>
      <c r="H189" s="1332"/>
      <c r="I189" s="1332"/>
      <c r="J189" s="1387"/>
      <c r="K189" s="1372" t="s">
        <v>1571</v>
      </c>
      <c r="L189" s="1373">
        <v>0.47671433000000002</v>
      </c>
      <c r="M189" s="1374" t="s">
        <v>157</v>
      </c>
      <c r="N189" s="1374" t="s">
        <v>156</v>
      </c>
      <c r="O189" s="1332"/>
      <c r="P189" s="1332"/>
      <c r="Q189" s="1332"/>
      <c r="R189" s="1332"/>
      <c r="S189" s="1332"/>
      <c r="T189" s="1332"/>
      <c r="U189" s="1332"/>
      <c r="V189" s="1332"/>
      <c r="W189" s="1332"/>
      <c r="X189" s="1332"/>
      <c r="Y189" s="1332"/>
      <c r="Z189" s="1332"/>
      <c r="AA189" s="1332"/>
    </row>
    <row r="190" spans="2:27" ht="12" customHeight="1">
      <c r="B190" s="1332"/>
      <c r="C190" s="1332"/>
      <c r="D190" s="1332"/>
      <c r="E190" s="1332"/>
      <c r="F190" s="1332"/>
      <c r="G190" s="1332"/>
      <c r="H190" s="1332"/>
      <c r="I190" s="1332"/>
      <c r="J190" s="1387"/>
      <c r="K190" s="1372" t="s">
        <v>1573</v>
      </c>
      <c r="L190" s="1375">
        <v>0.69347579999999998</v>
      </c>
      <c r="M190" s="1374" t="s">
        <v>157</v>
      </c>
      <c r="N190" s="1374" t="s">
        <v>156</v>
      </c>
      <c r="O190" s="1332"/>
      <c r="P190" s="1332"/>
      <c r="Q190" s="1332"/>
      <c r="R190" s="1332"/>
      <c r="S190" s="1332"/>
      <c r="T190" s="1332"/>
      <c r="U190" s="1332"/>
      <c r="V190" s="1332"/>
      <c r="W190" s="1332"/>
      <c r="X190" s="1332"/>
      <c r="Y190" s="1332"/>
      <c r="Z190" s="1332"/>
      <c r="AA190" s="1332"/>
    </row>
    <row r="191" spans="2:27" ht="12" customHeight="1">
      <c r="B191" s="1332"/>
      <c r="C191" s="1332"/>
      <c r="D191" s="1332"/>
      <c r="E191" s="1332"/>
      <c r="F191" s="1332"/>
      <c r="G191" s="1332"/>
      <c r="H191" s="1332"/>
      <c r="I191" s="1332"/>
      <c r="J191" s="1387"/>
      <c r="K191" s="1369" t="s">
        <v>609</v>
      </c>
      <c r="L191" s="1370">
        <v>0.23610624999999999</v>
      </c>
      <c r="M191" s="1316" t="s">
        <v>157</v>
      </c>
      <c r="N191" s="1316" t="s">
        <v>156</v>
      </c>
      <c r="O191" s="1332"/>
      <c r="P191" s="1332"/>
      <c r="Q191" s="1332"/>
      <c r="R191" s="1332"/>
      <c r="S191" s="1332"/>
      <c r="T191" s="1332"/>
      <c r="U191" s="1332"/>
      <c r="V191" s="1332"/>
      <c r="W191" s="1332"/>
      <c r="X191" s="1332"/>
      <c r="Y191" s="1332"/>
      <c r="Z191" s="1332"/>
      <c r="AA191" s="1332"/>
    </row>
    <row r="192" spans="2:27" ht="12" customHeight="1">
      <c r="B192" s="1332"/>
      <c r="C192" s="1332"/>
      <c r="D192" s="1332"/>
      <c r="E192" s="1332"/>
      <c r="F192" s="1332"/>
      <c r="G192" s="1332"/>
      <c r="H192" s="1332"/>
      <c r="I192" s="1332"/>
      <c r="J192" s="1387"/>
      <c r="K192" s="1369" t="s">
        <v>4139</v>
      </c>
      <c r="L192" s="1371">
        <v>0.61737633000000003</v>
      </c>
      <c r="M192" s="1316" t="s">
        <v>157</v>
      </c>
      <c r="N192" s="1316" t="s">
        <v>156</v>
      </c>
      <c r="O192" s="1332"/>
      <c r="P192" s="1332"/>
      <c r="Q192" s="1332"/>
      <c r="R192" s="1332"/>
      <c r="S192" s="1332"/>
      <c r="T192" s="1332"/>
      <c r="U192" s="1332"/>
      <c r="V192" s="1332"/>
      <c r="W192" s="1332"/>
      <c r="X192" s="1332"/>
      <c r="Y192" s="1332"/>
      <c r="Z192" s="1332"/>
      <c r="AA192" s="1332"/>
    </row>
    <row r="193" spans="2:27" ht="12" customHeight="1">
      <c r="B193" s="1332"/>
      <c r="C193" s="1332"/>
      <c r="D193" s="1332"/>
      <c r="E193" s="1332"/>
      <c r="F193" s="1332"/>
      <c r="G193" s="1332"/>
      <c r="H193" s="1332"/>
      <c r="I193" s="1332"/>
      <c r="J193" s="1387"/>
      <c r="K193" s="1372" t="s">
        <v>4140</v>
      </c>
      <c r="L193" s="1373">
        <v>0.26642565000000001</v>
      </c>
      <c r="M193" s="1374" t="s">
        <v>157</v>
      </c>
      <c r="N193" s="1374" t="s">
        <v>156</v>
      </c>
      <c r="O193" s="1332"/>
      <c r="P193" s="1332"/>
      <c r="Q193" s="1332"/>
      <c r="R193" s="1332"/>
      <c r="S193" s="1332"/>
      <c r="T193" s="1332"/>
      <c r="U193" s="1332"/>
      <c r="V193" s="1332"/>
      <c r="W193" s="1332"/>
      <c r="X193" s="1332"/>
      <c r="Y193" s="1332"/>
      <c r="Z193" s="1332"/>
      <c r="AA193" s="1332"/>
    </row>
    <row r="194" spans="2:27" ht="12" customHeight="1">
      <c r="B194" s="1332"/>
      <c r="C194" s="1332"/>
      <c r="D194" s="1332"/>
      <c r="E194" s="1332"/>
      <c r="F194" s="1332"/>
      <c r="G194" s="1332"/>
      <c r="H194" s="1332"/>
      <c r="I194" s="1332"/>
      <c r="J194" s="1387"/>
      <c r="K194" s="1372" t="s">
        <v>766</v>
      </c>
      <c r="L194" s="1373">
        <v>4.8282625000000001</v>
      </c>
      <c r="M194" s="1374" t="s">
        <v>157</v>
      </c>
      <c r="N194" s="1374" t="s">
        <v>156</v>
      </c>
      <c r="O194" s="1332"/>
      <c r="P194" s="1332"/>
      <c r="Q194" s="1332"/>
      <c r="R194" s="1332"/>
      <c r="S194" s="1332"/>
      <c r="T194" s="1332"/>
      <c r="U194" s="1332"/>
      <c r="V194" s="1332"/>
      <c r="W194" s="1332"/>
      <c r="X194" s="1332"/>
      <c r="Y194" s="1332"/>
      <c r="Z194" s="1332"/>
      <c r="AA194" s="1332"/>
    </row>
    <row r="195" spans="2:27" ht="12" customHeight="1">
      <c r="B195" s="1332"/>
      <c r="C195" s="1332"/>
      <c r="D195" s="1332"/>
      <c r="E195" s="1332"/>
      <c r="F195" s="1332"/>
      <c r="G195" s="1332"/>
      <c r="H195" s="1332"/>
      <c r="I195" s="1332"/>
      <c r="J195" s="1387"/>
      <c r="K195" s="1369" t="s">
        <v>599</v>
      </c>
      <c r="L195" s="1370">
        <v>0.34921655000000001</v>
      </c>
      <c r="M195" s="1316" t="s">
        <v>157</v>
      </c>
      <c r="N195" s="1316" t="s">
        <v>156</v>
      </c>
      <c r="O195" s="1332"/>
      <c r="P195" s="1332"/>
      <c r="Q195" s="1332"/>
      <c r="R195" s="1332"/>
      <c r="S195" s="1332"/>
      <c r="T195" s="1332"/>
      <c r="U195" s="1332"/>
      <c r="V195" s="1332"/>
      <c r="W195" s="1332"/>
      <c r="X195" s="1332"/>
      <c r="Y195" s="1332"/>
      <c r="Z195" s="1332"/>
      <c r="AA195" s="1332"/>
    </row>
    <row r="196" spans="2:27" ht="12" customHeight="1">
      <c r="B196" s="1332"/>
      <c r="C196" s="1332"/>
      <c r="D196" s="1332"/>
      <c r="E196" s="1332"/>
      <c r="F196" s="1332"/>
      <c r="G196" s="1332"/>
      <c r="H196" s="1332"/>
      <c r="I196" s="1332"/>
      <c r="J196" s="1387"/>
      <c r="K196" s="1372" t="s">
        <v>770</v>
      </c>
      <c r="L196" s="1373">
        <v>0.74625940999999996</v>
      </c>
      <c r="M196" s="1374" t="s">
        <v>157</v>
      </c>
      <c r="N196" s="1374" t="s">
        <v>156</v>
      </c>
      <c r="O196" s="1332"/>
      <c r="P196" s="1332"/>
      <c r="Q196" s="1332"/>
      <c r="R196" s="1332"/>
      <c r="S196" s="1332"/>
      <c r="T196" s="1332"/>
      <c r="U196" s="1332"/>
      <c r="V196" s="1332"/>
      <c r="W196" s="1332"/>
      <c r="X196" s="1332"/>
      <c r="Y196" s="1332"/>
      <c r="Z196" s="1332"/>
      <c r="AA196" s="1332"/>
    </row>
    <row r="197" spans="2:27" ht="12" customHeight="1">
      <c r="B197" s="1332"/>
      <c r="C197" s="1332"/>
      <c r="D197" s="1332"/>
      <c r="E197" s="1332"/>
      <c r="F197" s="1332"/>
      <c r="G197" s="1332"/>
      <c r="H197" s="1332"/>
      <c r="I197" s="1332"/>
      <c r="J197" s="1387"/>
      <c r="K197" s="1369" t="s">
        <v>4141</v>
      </c>
      <c r="L197" s="1370">
        <v>1.1563228000000001</v>
      </c>
      <c r="M197" s="1316" t="s">
        <v>157</v>
      </c>
      <c r="N197" s="1316" t="s">
        <v>156</v>
      </c>
      <c r="O197" s="1332"/>
      <c r="P197" s="1332"/>
      <c r="Q197" s="1332"/>
      <c r="R197" s="1332"/>
      <c r="S197" s="1332"/>
      <c r="T197" s="1332"/>
      <c r="U197" s="1332"/>
      <c r="V197" s="1332"/>
      <c r="W197" s="1332"/>
      <c r="X197" s="1332"/>
      <c r="Y197" s="1332"/>
      <c r="Z197" s="1332"/>
      <c r="AA197" s="1332"/>
    </row>
    <row r="198" spans="2:27" ht="12" customHeight="1">
      <c r="B198" s="1332"/>
      <c r="C198" s="1332"/>
      <c r="D198" s="1332"/>
      <c r="E198" s="1332"/>
      <c r="F198" s="1332"/>
      <c r="G198" s="1332"/>
      <c r="H198" s="1332"/>
      <c r="I198" s="1332"/>
      <c r="J198" s="1387"/>
      <c r="K198" s="1369" t="s">
        <v>83</v>
      </c>
      <c r="L198" s="1370">
        <v>1.3204619</v>
      </c>
      <c r="M198" s="1316" t="s">
        <v>157</v>
      </c>
      <c r="N198" s="1316" t="s">
        <v>156</v>
      </c>
      <c r="O198" s="1332"/>
      <c r="P198" s="1332"/>
      <c r="Q198" s="1332"/>
      <c r="R198" s="1332"/>
      <c r="S198" s="1332"/>
      <c r="T198" s="1332"/>
      <c r="U198" s="1332"/>
      <c r="V198" s="1332"/>
      <c r="W198" s="1332"/>
      <c r="X198" s="1332"/>
      <c r="Y198" s="1332"/>
      <c r="Z198" s="1332"/>
      <c r="AA198" s="1332"/>
    </row>
    <row r="199" spans="2:27" ht="12" customHeight="1">
      <c r="B199" s="1332"/>
      <c r="C199" s="1332"/>
      <c r="D199" s="1332"/>
      <c r="E199" s="1332"/>
      <c r="F199" s="1332"/>
      <c r="G199" s="1332"/>
      <c r="H199" s="1332"/>
      <c r="I199" s="1332"/>
      <c r="J199" s="1387"/>
      <c r="K199" s="1369" t="s">
        <v>607</v>
      </c>
      <c r="L199" s="1370">
        <v>0.13468558</v>
      </c>
      <c r="M199" s="1316" t="s">
        <v>157</v>
      </c>
      <c r="N199" s="1316" t="s">
        <v>156</v>
      </c>
      <c r="O199" s="1332"/>
      <c r="P199" s="1332"/>
      <c r="Q199" s="1332"/>
      <c r="R199" s="1332"/>
      <c r="S199" s="1332"/>
      <c r="T199" s="1332"/>
      <c r="U199" s="1332"/>
      <c r="V199" s="1332"/>
      <c r="W199" s="1332"/>
      <c r="X199" s="1332"/>
      <c r="Y199" s="1332"/>
      <c r="Z199" s="1332"/>
      <c r="AA199" s="1332"/>
    </row>
    <row r="200" spans="2:27" ht="12" customHeight="1">
      <c r="B200" s="1332"/>
      <c r="C200" s="1332"/>
      <c r="D200" s="1332"/>
      <c r="E200" s="1332"/>
      <c r="F200" s="1332"/>
      <c r="G200" s="1332"/>
      <c r="H200" s="1332"/>
      <c r="I200" s="1332"/>
      <c r="J200" s="1387"/>
      <c r="K200" s="1369" t="s">
        <v>606</v>
      </c>
      <c r="L200" s="1371">
        <f>+simapro!AG152</f>
        <v>0.24271677999999999</v>
      </c>
      <c r="M200" s="1316" t="s">
        <v>157</v>
      </c>
      <c r="N200" s="1316" t="s">
        <v>156</v>
      </c>
      <c r="O200" s="1332"/>
      <c r="P200" s="1332"/>
      <c r="Q200" s="1332"/>
      <c r="R200" s="1332"/>
      <c r="S200" s="1332"/>
      <c r="T200" s="1332"/>
      <c r="U200" s="1332"/>
      <c r="V200" s="1332"/>
      <c r="W200" s="1332"/>
      <c r="X200" s="1332"/>
      <c r="Y200" s="1332"/>
      <c r="Z200" s="1332"/>
      <c r="AA200" s="1332"/>
    </row>
    <row r="201" spans="2:27" ht="12" customHeight="1">
      <c r="B201" s="1332"/>
      <c r="C201" s="1332"/>
      <c r="D201" s="1332"/>
      <c r="E201" s="1332"/>
      <c r="F201" s="1332"/>
      <c r="G201" s="1332"/>
      <c r="H201" s="1332"/>
      <c r="I201" s="1332"/>
      <c r="J201" s="1387"/>
      <c r="K201" s="1369" t="s">
        <v>4142</v>
      </c>
      <c r="L201" s="1371">
        <v>0.96616837</v>
      </c>
      <c r="M201" s="1316" t="s">
        <v>157</v>
      </c>
      <c r="N201" s="1316" t="s">
        <v>156</v>
      </c>
      <c r="O201" s="1332"/>
      <c r="P201" s="1332"/>
      <c r="Q201" s="1332"/>
      <c r="R201" s="1332"/>
      <c r="S201" s="1332"/>
      <c r="T201" s="1332"/>
      <c r="U201" s="1332"/>
      <c r="V201" s="1332"/>
      <c r="W201" s="1332"/>
      <c r="X201" s="1332"/>
      <c r="Y201" s="1332"/>
      <c r="Z201" s="1332"/>
      <c r="AA201" s="1332"/>
    </row>
    <row r="202" spans="2:27" ht="12" customHeight="1">
      <c r="B202" s="1332"/>
      <c r="C202" s="1332"/>
      <c r="D202" s="1332"/>
      <c r="E202" s="1332"/>
      <c r="F202" s="1332"/>
      <c r="G202" s="1332"/>
      <c r="H202" s="1332"/>
      <c r="I202" s="1332"/>
      <c r="J202" s="1387"/>
      <c r="K202" s="1369" t="s">
        <v>610</v>
      </c>
      <c r="L202" s="1371">
        <f>+simapro!Z51</f>
        <v>0.24271677999999999</v>
      </c>
      <c r="M202" s="1316" t="s">
        <v>157</v>
      </c>
      <c r="N202" s="1316" t="s">
        <v>156</v>
      </c>
      <c r="O202" s="1332"/>
      <c r="P202" s="1332"/>
      <c r="Q202" s="1332"/>
      <c r="R202" s="1332"/>
      <c r="S202" s="1332"/>
      <c r="T202" s="1332"/>
      <c r="U202" s="1332"/>
      <c r="V202" s="1332"/>
      <c r="W202" s="1332"/>
      <c r="X202" s="1332"/>
      <c r="Y202" s="1332"/>
      <c r="Z202" s="1332"/>
      <c r="AA202" s="1332"/>
    </row>
    <row r="203" spans="2:27" ht="12" customHeight="1">
      <c r="B203" s="1332"/>
      <c r="C203" s="1332"/>
      <c r="D203" s="1332"/>
      <c r="E203" s="1332"/>
      <c r="F203" s="1332"/>
      <c r="G203" s="1332"/>
      <c r="H203" s="1332"/>
      <c r="I203" s="1332"/>
      <c r="J203" s="1388"/>
      <c r="K203" s="1369" t="s">
        <v>621</v>
      </c>
      <c r="L203" s="1371">
        <f>+simapro!E51</f>
        <v>0.32957987</v>
      </c>
      <c r="M203" s="1316" t="s">
        <v>157</v>
      </c>
      <c r="N203" s="1316" t="s">
        <v>156</v>
      </c>
      <c r="O203" s="1332"/>
      <c r="P203" s="1332"/>
      <c r="Q203" s="1332"/>
      <c r="R203" s="1332"/>
      <c r="S203" s="1332"/>
      <c r="T203" s="1332"/>
      <c r="U203" s="1332"/>
      <c r="V203" s="1332"/>
      <c r="W203" s="1332"/>
      <c r="X203" s="1332"/>
      <c r="Y203" s="1332"/>
      <c r="Z203" s="1332"/>
      <c r="AA203" s="1332"/>
    </row>
    <row r="204" spans="2:27" ht="12" customHeight="1">
      <c r="B204" s="1332"/>
      <c r="C204" s="1332"/>
      <c r="D204" s="1332"/>
      <c r="E204" s="1332"/>
      <c r="F204" s="1332"/>
      <c r="G204" s="1332"/>
      <c r="H204" s="1332"/>
      <c r="I204" s="1332"/>
      <c r="J204" s="1587" t="s">
        <v>4143</v>
      </c>
      <c r="K204" s="85" t="s">
        <v>4144</v>
      </c>
      <c r="L204" s="923">
        <v>1.2834311</v>
      </c>
      <c r="M204" s="49" t="s">
        <v>139</v>
      </c>
      <c r="N204" s="49" t="s">
        <v>162</v>
      </c>
      <c r="O204" s="1332"/>
      <c r="P204" s="1332"/>
      <c r="Q204" s="1332"/>
      <c r="R204" s="1332"/>
      <c r="S204" s="1332"/>
      <c r="T204" s="1332"/>
      <c r="U204" s="1332"/>
      <c r="V204" s="1332"/>
      <c r="W204" s="1332"/>
      <c r="X204" s="1332"/>
      <c r="Y204" s="1332"/>
      <c r="Z204" s="1332"/>
      <c r="AA204" s="1332"/>
    </row>
    <row r="205" spans="2:27" ht="12" customHeight="1">
      <c r="B205" s="1332"/>
      <c r="C205" s="1332"/>
      <c r="D205" s="1332"/>
      <c r="E205" s="1332"/>
      <c r="F205" s="1332"/>
      <c r="G205" s="1332"/>
      <c r="H205" s="1332"/>
      <c r="I205" s="1332"/>
      <c r="J205" s="1387"/>
      <c r="K205" s="85" t="s">
        <v>1563</v>
      </c>
      <c r="L205" s="1376">
        <v>2.5260050999999999</v>
      </c>
      <c r="M205" s="49" t="s">
        <v>139</v>
      </c>
      <c r="N205" s="49" t="s">
        <v>162</v>
      </c>
      <c r="O205" s="1332"/>
      <c r="P205" s="1332"/>
      <c r="Q205" s="1332"/>
      <c r="R205" s="1332"/>
      <c r="S205" s="1332"/>
      <c r="T205" s="1332"/>
      <c r="U205" s="1332"/>
      <c r="V205" s="1332"/>
      <c r="W205" s="1332"/>
      <c r="X205" s="1332"/>
      <c r="Y205" s="1332"/>
      <c r="Z205" s="1332"/>
      <c r="AA205" s="1332"/>
    </row>
    <row r="206" spans="2:27" ht="12" customHeight="1">
      <c r="B206" s="1332"/>
      <c r="C206" s="1332"/>
      <c r="D206" s="1332"/>
      <c r="E206" s="1332"/>
      <c r="F206" s="1332"/>
      <c r="G206" s="1332"/>
      <c r="H206" s="1332"/>
      <c r="I206" s="1332"/>
      <c r="J206" s="1387"/>
      <c r="K206" s="85" t="s">
        <v>1358</v>
      </c>
      <c r="L206" s="1376">
        <v>2.3231329000000001</v>
      </c>
      <c r="M206" s="49" t="s">
        <v>139</v>
      </c>
      <c r="N206" s="49" t="s">
        <v>162</v>
      </c>
      <c r="O206" s="1332"/>
      <c r="P206" s="1332"/>
      <c r="Q206" s="1332"/>
      <c r="R206" s="1332"/>
      <c r="S206" s="1332"/>
      <c r="T206" s="1332"/>
      <c r="U206" s="1332"/>
      <c r="V206" s="1332"/>
      <c r="W206" s="1332"/>
      <c r="X206" s="1332"/>
      <c r="Y206" s="1332"/>
      <c r="Z206" s="1332"/>
      <c r="AA206" s="1332"/>
    </row>
    <row r="207" spans="2:27" ht="12" customHeight="1">
      <c r="B207" s="1332"/>
      <c r="C207" s="1332"/>
      <c r="D207" s="1332"/>
      <c r="E207" s="1332"/>
      <c r="F207" s="1332"/>
      <c r="G207" s="1332"/>
      <c r="H207" s="1332"/>
      <c r="I207" s="1332"/>
      <c r="J207" s="1387"/>
      <c r="K207" s="85" t="s">
        <v>1356</v>
      </c>
      <c r="L207" s="1376">
        <v>2.5158496000000001</v>
      </c>
      <c r="M207" s="49" t="s">
        <v>139</v>
      </c>
      <c r="N207" s="49" t="s">
        <v>162</v>
      </c>
      <c r="O207" s="1332"/>
      <c r="P207" s="1332"/>
      <c r="Q207" s="1332"/>
      <c r="R207" s="1332"/>
      <c r="S207" s="1332"/>
      <c r="T207" s="1332"/>
      <c r="U207" s="1332"/>
      <c r="V207" s="1332"/>
      <c r="W207" s="1332"/>
      <c r="X207" s="1332"/>
      <c r="Y207" s="1332"/>
      <c r="Z207" s="1332"/>
      <c r="AA207" s="1332"/>
    </row>
    <row r="208" spans="2:27" ht="12" customHeight="1">
      <c r="B208" s="1332"/>
      <c r="C208" s="1332"/>
      <c r="D208" s="1332"/>
      <c r="E208" s="1332"/>
      <c r="F208" s="1332"/>
      <c r="G208" s="1332"/>
      <c r="H208" s="1332"/>
      <c r="I208" s="1332"/>
      <c r="J208" s="1387"/>
      <c r="K208" s="85" t="s">
        <v>4145</v>
      </c>
      <c r="L208" s="1376">
        <v>2.2882218999999999</v>
      </c>
      <c r="M208" s="49" t="s">
        <v>139</v>
      </c>
      <c r="N208" s="49" t="s">
        <v>162</v>
      </c>
      <c r="O208" s="1332"/>
      <c r="P208" s="1332"/>
      <c r="Q208" s="1332"/>
      <c r="R208" s="1332"/>
      <c r="S208" s="1332"/>
      <c r="T208" s="1332"/>
      <c r="U208" s="1332"/>
      <c r="V208" s="1332"/>
      <c r="W208" s="1332"/>
      <c r="X208" s="1332"/>
      <c r="Y208" s="1332"/>
      <c r="Z208" s="1332"/>
      <c r="AA208" s="1332"/>
    </row>
    <row r="209" spans="2:27" ht="12" customHeight="1">
      <c r="B209" s="1332"/>
      <c r="C209" s="1332"/>
      <c r="D209" s="1332"/>
      <c r="E209" s="1332"/>
      <c r="F209" s="1332"/>
      <c r="G209" s="1332"/>
      <c r="H209" s="1332"/>
      <c r="I209" s="1332"/>
      <c r="J209" s="1387"/>
      <c r="K209" s="85" t="s">
        <v>1353</v>
      </c>
      <c r="L209" s="923">
        <v>0.15211138373205743</v>
      </c>
      <c r="M209" s="49" t="s">
        <v>139</v>
      </c>
      <c r="N209" s="49" t="s">
        <v>162</v>
      </c>
      <c r="O209" s="1332"/>
      <c r="P209" s="1332"/>
      <c r="Q209" s="1332"/>
      <c r="R209" s="1332"/>
      <c r="S209" s="1332"/>
      <c r="T209" s="1332"/>
      <c r="U209" s="1332"/>
      <c r="V209" s="1332"/>
      <c r="W209" s="1332"/>
      <c r="X209" s="1332"/>
      <c r="Y209" s="1332"/>
      <c r="Z209" s="1332"/>
      <c r="AA209" s="1332"/>
    </row>
    <row r="210" spans="2:27" ht="12" customHeight="1">
      <c r="B210" s="1332"/>
      <c r="C210" s="1332"/>
      <c r="D210" s="1332"/>
      <c r="E210" s="1332"/>
      <c r="F210" s="1332"/>
      <c r="G210" s="1332"/>
      <c r="H210" s="1332"/>
      <c r="I210" s="1332"/>
      <c r="J210" s="1387"/>
      <c r="K210" s="85" t="s">
        <v>1344</v>
      </c>
      <c r="L210" s="1376">
        <v>0.62407433000000001</v>
      </c>
      <c r="M210" s="49" t="s">
        <v>139</v>
      </c>
      <c r="N210" s="49" t="s">
        <v>162</v>
      </c>
      <c r="O210" s="1332"/>
      <c r="P210" s="1332"/>
      <c r="Q210" s="1332"/>
      <c r="R210" s="1332"/>
      <c r="S210" s="1332"/>
      <c r="T210" s="1332"/>
      <c r="U210" s="1332"/>
      <c r="V210" s="1332"/>
      <c r="W210" s="1332"/>
      <c r="X210" s="1332"/>
      <c r="Y210" s="1332"/>
      <c r="Z210" s="1332"/>
      <c r="AA210" s="1332"/>
    </row>
    <row r="211" spans="2:27" ht="12" customHeight="1">
      <c r="B211" s="1332"/>
      <c r="C211" s="1332"/>
      <c r="D211" s="1332"/>
      <c r="E211" s="1332"/>
      <c r="F211" s="1332"/>
      <c r="G211" s="1332"/>
      <c r="H211" s="1332"/>
      <c r="I211" s="1332"/>
      <c r="J211" s="1387"/>
      <c r="K211" s="85" t="s">
        <v>1430</v>
      </c>
      <c r="L211" s="1376">
        <v>3.3038364000000001E-2</v>
      </c>
      <c r="M211" s="49" t="s">
        <v>139</v>
      </c>
      <c r="N211" s="49" t="s">
        <v>162</v>
      </c>
      <c r="O211" s="1332"/>
      <c r="P211" s="1332"/>
      <c r="Q211" s="1332"/>
      <c r="R211" s="1332"/>
      <c r="S211" s="1332"/>
      <c r="T211" s="1332"/>
      <c r="U211" s="1332"/>
      <c r="V211" s="1332"/>
      <c r="W211" s="1332"/>
      <c r="X211" s="1332"/>
      <c r="Y211" s="1332"/>
      <c r="Z211" s="1332"/>
      <c r="AA211" s="1332"/>
    </row>
    <row r="212" spans="2:27" ht="12" customHeight="1">
      <c r="B212" s="1332"/>
      <c r="C212" s="1332"/>
      <c r="D212" s="1332"/>
      <c r="E212" s="1332"/>
      <c r="F212" s="1332"/>
      <c r="G212" s="1332"/>
      <c r="H212" s="1332"/>
      <c r="I212" s="1332"/>
      <c r="J212" s="1387"/>
      <c r="K212" s="85" t="s">
        <v>1361</v>
      </c>
      <c r="L212" s="923">
        <v>0.15211138373205743</v>
      </c>
      <c r="M212" s="49" t="s">
        <v>139</v>
      </c>
      <c r="N212" s="49" t="s">
        <v>162</v>
      </c>
      <c r="O212" s="1332"/>
      <c r="P212" s="1332"/>
      <c r="Q212" s="1332"/>
      <c r="R212" s="1332"/>
      <c r="S212" s="1332"/>
      <c r="T212" s="1332"/>
      <c r="U212" s="1332"/>
      <c r="V212" s="1332"/>
      <c r="W212" s="1332"/>
      <c r="X212" s="1332"/>
      <c r="Y212" s="1332"/>
      <c r="Z212" s="1332"/>
      <c r="AA212" s="1332"/>
    </row>
    <row r="213" spans="2:27" ht="12" customHeight="1">
      <c r="B213" s="1332"/>
      <c r="C213" s="1332"/>
      <c r="D213" s="1332"/>
      <c r="E213" s="1332"/>
      <c r="F213" s="1332"/>
      <c r="G213" s="1332"/>
      <c r="H213" s="1332"/>
      <c r="I213" s="1332"/>
      <c r="J213" s="1387"/>
      <c r="K213" s="85" t="s">
        <v>1565</v>
      </c>
      <c r="L213" s="1376">
        <v>4.8808657999999996</v>
      </c>
      <c r="M213" s="49" t="s">
        <v>139</v>
      </c>
      <c r="N213" s="49" t="s">
        <v>162</v>
      </c>
      <c r="O213" s="1332"/>
      <c r="P213" s="1332"/>
      <c r="Q213" s="1332"/>
      <c r="R213" s="1332"/>
      <c r="S213" s="1332"/>
      <c r="T213" s="1332"/>
      <c r="U213" s="1332"/>
      <c r="V213" s="1332"/>
      <c r="W213" s="1332"/>
      <c r="X213" s="1332"/>
      <c r="Y213" s="1332"/>
      <c r="Z213" s="1332"/>
      <c r="AA213" s="1332"/>
    </row>
    <row r="214" spans="2:27" ht="12" customHeight="1">
      <c r="B214" s="1332"/>
      <c r="C214" s="1332"/>
      <c r="D214" s="1332"/>
      <c r="E214" s="1332"/>
      <c r="F214" s="1332"/>
      <c r="G214" s="1332"/>
      <c r="H214" s="1332"/>
      <c r="I214" s="1332"/>
      <c r="J214" s="1387"/>
      <c r="K214" s="85" t="s">
        <v>1346</v>
      </c>
      <c r="L214" s="1376">
        <v>2.4636697000000001</v>
      </c>
      <c r="M214" s="49" t="s">
        <v>139</v>
      </c>
      <c r="N214" s="49" t="s">
        <v>162</v>
      </c>
      <c r="O214" s="1332"/>
      <c r="P214" s="1332"/>
      <c r="Q214" s="1332"/>
      <c r="R214" s="1332"/>
      <c r="S214" s="1332"/>
      <c r="T214" s="1332"/>
      <c r="U214" s="1332"/>
      <c r="V214" s="1332"/>
      <c r="W214" s="1332"/>
      <c r="X214" s="1332"/>
      <c r="Y214" s="1332"/>
      <c r="Z214" s="1332"/>
      <c r="AA214" s="1332"/>
    </row>
    <row r="215" spans="2:27" ht="12" customHeight="1">
      <c r="B215" s="1332"/>
      <c r="C215" s="1332"/>
      <c r="D215" s="1332"/>
      <c r="E215" s="1332"/>
      <c r="F215" s="1332"/>
      <c r="G215" s="1332"/>
      <c r="H215" s="1332"/>
      <c r="I215" s="1332"/>
      <c r="J215" s="1387"/>
      <c r="K215" s="85" t="s">
        <v>1349</v>
      </c>
      <c r="L215" s="1376">
        <v>2.9268296</v>
      </c>
      <c r="M215" s="49" t="s">
        <v>139</v>
      </c>
      <c r="N215" s="49" t="s">
        <v>1416</v>
      </c>
      <c r="O215" s="1332"/>
      <c r="P215" s="1332"/>
      <c r="Q215" s="1332"/>
      <c r="R215" s="1332"/>
      <c r="S215" s="1332"/>
      <c r="T215" s="1332"/>
      <c r="U215" s="1332"/>
      <c r="V215" s="1332"/>
      <c r="W215" s="1332"/>
      <c r="X215" s="1332"/>
      <c r="Y215" s="1332"/>
      <c r="Z215" s="1332"/>
      <c r="AA215" s="1332"/>
    </row>
    <row r="216" spans="2:27" ht="12" customHeight="1">
      <c r="B216" s="1332"/>
      <c r="C216" s="1332"/>
      <c r="D216" s="1332"/>
      <c r="E216" s="1332"/>
      <c r="F216" s="1332"/>
      <c r="G216" s="1332"/>
      <c r="H216" s="1332"/>
      <c r="I216" s="1332"/>
      <c r="J216" s="1387"/>
      <c r="K216" s="85" t="s">
        <v>1364</v>
      </c>
      <c r="L216" s="923">
        <f>+AVERAGE(L218,L205:L208)</f>
        <v>2.4997827199999998</v>
      </c>
      <c r="M216" s="49" t="s">
        <v>139</v>
      </c>
      <c r="N216" s="49" t="s">
        <v>162</v>
      </c>
      <c r="O216" s="1332"/>
      <c r="P216" s="1332"/>
      <c r="Q216" s="1332"/>
      <c r="R216" s="1332"/>
      <c r="S216" s="1332"/>
      <c r="T216" s="1332"/>
      <c r="U216" s="1332"/>
      <c r="V216" s="1332"/>
      <c r="W216" s="1332"/>
      <c r="X216" s="1332"/>
      <c r="Y216" s="1332"/>
      <c r="Z216" s="1332"/>
      <c r="AA216" s="1332"/>
    </row>
    <row r="217" spans="2:27" ht="12" customHeight="1">
      <c r="B217" s="1332"/>
      <c r="C217" s="1332"/>
      <c r="D217" s="1332"/>
      <c r="E217" s="1332"/>
      <c r="F217" s="1332"/>
      <c r="G217" s="1332"/>
      <c r="H217" s="1332"/>
      <c r="I217" s="1332"/>
      <c r="J217" s="1387"/>
      <c r="K217" s="85" t="s">
        <v>1525</v>
      </c>
      <c r="L217" s="923">
        <f>+L213</f>
        <v>4.8808657999999996</v>
      </c>
      <c r="M217" s="49" t="s">
        <v>139</v>
      </c>
      <c r="N217" s="49" t="s">
        <v>162</v>
      </c>
      <c r="O217" s="1332" t="s">
        <v>4146</v>
      </c>
      <c r="P217" s="1332"/>
      <c r="Q217" s="1332"/>
      <c r="R217" s="1332"/>
      <c r="S217" s="1332"/>
      <c r="T217" s="1332"/>
      <c r="U217" s="1332"/>
      <c r="V217" s="1332"/>
      <c r="W217" s="1332"/>
      <c r="X217" s="1332"/>
      <c r="Y217" s="1332"/>
      <c r="Z217" s="1332"/>
      <c r="AA217" s="1332"/>
    </row>
    <row r="218" spans="2:27" ht="12" customHeight="1">
      <c r="B218" s="1332"/>
      <c r="C218" s="1332"/>
      <c r="D218" s="1332"/>
      <c r="E218" s="1332"/>
      <c r="F218" s="1332"/>
      <c r="G218" s="1332"/>
      <c r="H218" s="1332"/>
      <c r="I218" s="1332"/>
      <c r="J218" s="1388"/>
      <c r="K218" s="85" t="s">
        <v>1562</v>
      </c>
      <c r="L218" s="1376">
        <v>2.8457040999999998</v>
      </c>
      <c r="M218" s="49" t="s">
        <v>139</v>
      </c>
      <c r="N218" s="49" t="s">
        <v>162</v>
      </c>
      <c r="O218" s="1332"/>
      <c r="P218" s="1332"/>
      <c r="Q218" s="1332"/>
      <c r="R218" s="1332"/>
      <c r="S218" s="1332"/>
      <c r="T218" s="1332"/>
      <c r="U218" s="1332"/>
      <c r="V218" s="1332"/>
      <c r="W218" s="1332"/>
      <c r="X218" s="1332"/>
      <c r="Y218" s="1332"/>
      <c r="Z218" s="1332"/>
      <c r="AA218" s="1332"/>
    </row>
    <row r="219" spans="2:27" ht="12" customHeight="1">
      <c r="B219" s="1332"/>
      <c r="C219" s="1332"/>
      <c r="D219" s="1332"/>
      <c r="E219" s="1332"/>
      <c r="F219" s="1332"/>
      <c r="G219" s="1332"/>
      <c r="H219" s="1332"/>
      <c r="I219" s="1332"/>
      <c r="J219" s="1593" t="s">
        <v>84</v>
      </c>
      <c r="K219" s="64" t="s">
        <v>1346</v>
      </c>
      <c r="L219" s="1377">
        <v>2.4636697000000001</v>
      </c>
      <c r="M219" s="29" t="s">
        <v>139</v>
      </c>
      <c r="N219" s="29" t="s">
        <v>162</v>
      </c>
      <c r="O219" s="1332"/>
      <c r="P219" s="1332"/>
      <c r="Q219" s="1332"/>
      <c r="R219" s="1332"/>
      <c r="S219" s="1332"/>
      <c r="T219" s="1332"/>
      <c r="U219" s="1332"/>
      <c r="V219" s="1332"/>
      <c r="W219" s="1332"/>
      <c r="X219" s="1332"/>
      <c r="Y219" s="1332"/>
      <c r="Z219" s="1332"/>
      <c r="AA219" s="1332"/>
    </row>
    <row r="220" spans="2:27" ht="12" customHeight="1">
      <c r="B220" s="1332"/>
      <c r="C220" s="1332"/>
      <c r="D220" s="1332"/>
      <c r="E220" s="1332"/>
      <c r="F220" s="1332"/>
      <c r="G220" s="1332"/>
      <c r="H220" s="1332"/>
      <c r="I220" s="1332"/>
      <c r="J220" s="1387"/>
      <c r="K220" s="64" t="s">
        <v>4147</v>
      </c>
      <c r="L220" s="1378">
        <v>0.41868064999999999</v>
      </c>
      <c r="M220" s="29" t="s">
        <v>157</v>
      </c>
      <c r="N220" s="29" t="s">
        <v>156</v>
      </c>
      <c r="O220" s="1332"/>
      <c r="P220" s="1332"/>
      <c r="Q220" s="1332"/>
      <c r="R220" s="1332"/>
      <c r="S220" s="1332"/>
      <c r="T220" s="1332"/>
      <c r="U220" s="1332"/>
      <c r="V220" s="1332"/>
      <c r="W220" s="1332"/>
      <c r="X220" s="1332"/>
      <c r="Y220" s="1332"/>
      <c r="Z220" s="1332"/>
      <c r="AA220" s="1332"/>
    </row>
    <row r="221" spans="2:27" ht="12" customHeight="1">
      <c r="B221" s="1332"/>
      <c r="C221" s="1332"/>
      <c r="D221" s="1332"/>
      <c r="E221" s="1332"/>
      <c r="F221" s="1332"/>
      <c r="G221" s="1332"/>
      <c r="H221" s="1332"/>
      <c r="I221" s="1332"/>
      <c r="J221" s="1387"/>
      <c r="K221" s="64" t="s">
        <v>4148</v>
      </c>
      <c r="L221" s="1378">
        <v>0.41478904</v>
      </c>
      <c r="M221" s="29" t="s">
        <v>157</v>
      </c>
      <c r="N221" s="29" t="s">
        <v>156</v>
      </c>
      <c r="O221" s="1332"/>
      <c r="P221" s="1332"/>
      <c r="Q221" s="1332"/>
      <c r="R221" s="1332"/>
      <c r="S221" s="1332"/>
      <c r="T221" s="1332"/>
      <c r="U221" s="1332"/>
      <c r="V221" s="1332"/>
      <c r="W221" s="1332"/>
      <c r="X221" s="1332"/>
      <c r="Y221" s="1332"/>
      <c r="Z221" s="1332"/>
      <c r="AA221" s="1332"/>
    </row>
    <row r="222" spans="2:27" ht="12" customHeight="1">
      <c r="B222" s="1332"/>
      <c r="C222" s="1332"/>
      <c r="D222" s="1332"/>
      <c r="E222" s="1332"/>
      <c r="F222" s="1332"/>
      <c r="G222" s="1332"/>
      <c r="H222" s="1332"/>
      <c r="I222" s="1332"/>
      <c r="J222" s="1387"/>
      <c r="K222" s="64" t="s">
        <v>4149</v>
      </c>
      <c r="L222" s="1378">
        <v>0.41478904</v>
      </c>
      <c r="M222" s="29" t="s">
        <v>157</v>
      </c>
      <c r="N222" s="29" t="s">
        <v>156</v>
      </c>
      <c r="O222" s="1332"/>
      <c r="P222" s="1332"/>
      <c r="Q222" s="1332"/>
      <c r="R222" s="1332"/>
      <c r="S222" s="1332"/>
      <c r="T222" s="1332"/>
      <c r="U222" s="1332"/>
      <c r="V222" s="1332"/>
      <c r="W222" s="1332"/>
      <c r="X222" s="1332"/>
      <c r="Y222" s="1332"/>
      <c r="Z222" s="1332"/>
      <c r="AA222" s="1332"/>
    </row>
    <row r="223" spans="2:27" ht="12" customHeight="1">
      <c r="B223" s="1332"/>
      <c r="C223" s="1332"/>
      <c r="D223" s="1332"/>
      <c r="E223" s="1332"/>
      <c r="F223" s="1332"/>
      <c r="G223" s="1332"/>
      <c r="H223" s="1332"/>
      <c r="I223" s="1332"/>
      <c r="J223" s="1387"/>
      <c r="K223" s="64" t="s">
        <v>4150</v>
      </c>
      <c r="L223" s="1378">
        <v>0.74625940999999996</v>
      </c>
      <c r="M223" s="29" t="s">
        <v>157</v>
      </c>
      <c r="N223" s="29" t="s">
        <v>156</v>
      </c>
      <c r="O223" s="1332"/>
      <c r="P223" s="1332"/>
      <c r="Q223" s="1332"/>
      <c r="R223" s="1332"/>
      <c r="S223" s="1332"/>
      <c r="T223" s="1332"/>
      <c r="U223" s="1332"/>
      <c r="V223" s="1332"/>
      <c r="W223" s="1332"/>
      <c r="X223" s="1332"/>
      <c r="Y223" s="1332"/>
      <c r="Z223" s="1332"/>
      <c r="AA223" s="1332"/>
    </row>
    <row r="224" spans="2:27" ht="12" customHeight="1">
      <c r="B224" s="1332"/>
      <c r="C224" s="1332"/>
      <c r="D224" s="1332"/>
      <c r="E224" s="1332"/>
      <c r="F224" s="1332"/>
      <c r="G224" s="1332"/>
      <c r="H224" s="1332"/>
      <c r="I224" s="1332"/>
      <c r="J224" s="1387"/>
      <c r="K224" s="64" t="s">
        <v>4151</v>
      </c>
      <c r="L224" s="1378">
        <v>0.74625940999999996</v>
      </c>
      <c r="M224" s="29" t="s">
        <v>157</v>
      </c>
      <c r="N224" s="29" t="s">
        <v>156</v>
      </c>
      <c r="O224" s="1332"/>
      <c r="P224" s="1332"/>
      <c r="Q224" s="1332"/>
      <c r="R224" s="1332"/>
      <c r="S224" s="1332"/>
      <c r="T224" s="1332"/>
      <c r="U224" s="1332"/>
      <c r="V224" s="1332"/>
      <c r="W224" s="1332"/>
      <c r="X224" s="1332"/>
      <c r="Y224" s="1332"/>
      <c r="Z224" s="1332"/>
      <c r="AA224" s="1332"/>
    </row>
    <row r="225" spans="2:27" ht="12" customHeight="1">
      <c r="B225" s="1332"/>
      <c r="C225" s="1332"/>
      <c r="D225" s="1332"/>
      <c r="E225" s="1332"/>
      <c r="F225" s="1332"/>
      <c r="G225" s="1332"/>
      <c r="H225" s="1332"/>
      <c r="I225" s="1332"/>
      <c r="J225" s="1387"/>
      <c r="K225" s="64" t="s">
        <v>4152</v>
      </c>
      <c r="L225" s="1378">
        <v>0.74625940999999996</v>
      </c>
      <c r="M225" s="29" t="s">
        <v>157</v>
      </c>
      <c r="N225" s="29" t="s">
        <v>156</v>
      </c>
      <c r="O225" s="1332"/>
      <c r="P225" s="1332"/>
      <c r="Q225" s="1332"/>
      <c r="R225" s="1332"/>
      <c r="S225" s="1332"/>
      <c r="T225" s="1332"/>
      <c r="U225" s="1332"/>
      <c r="V225" s="1332"/>
      <c r="W225" s="1332"/>
      <c r="X225" s="1332"/>
      <c r="Y225" s="1332"/>
      <c r="Z225" s="1332"/>
      <c r="AA225" s="1332"/>
    </row>
    <row r="226" spans="2:27" ht="12" customHeight="1">
      <c r="B226" s="1332"/>
      <c r="C226" s="1332"/>
      <c r="D226" s="1332"/>
      <c r="E226" s="1332"/>
      <c r="F226" s="1332"/>
      <c r="G226" s="1332"/>
      <c r="H226" s="1332"/>
      <c r="I226" s="1332"/>
      <c r="J226" s="1387"/>
      <c r="K226" s="64" t="s">
        <v>4153</v>
      </c>
      <c r="L226" s="1378">
        <v>3.519698</v>
      </c>
      <c r="M226" s="29" t="s">
        <v>157</v>
      </c>
      <c r="N226" s="29" t="s">
        <v>156</v>
      </c>
      <c r="O226" s="1332"/>
      <c r="P226" s="1332"/>
      <c r="Q226" s="1332"/>
      <c r="R226" s="1332"/>
      <c r="S226" s="1332"/>
      <c r="T226" s="1332"/>
      <c r="U226" s="1332"/>
      <c r="V226" s="1332"/>
      <c r="W226" s="1332"/>
      <c r="X226" s="1332"/>
      <c r="Y226" s="1332"/>
      <c r="Z226" s="1332"/>
      <c r="AA226" s="1332"/>
    </row>
    <row r="227" spans="2:27" ht="12" customHeight="1">
      <c r="B227" s="1332"/>
      <c r="C227" s="1332"/>
      <c r="D227" s="1332"/>
      <c r="E227" s="1332"/>
      <c r="F227" s="1332"/>
      <c r="G227" s="1332"/>
      <c r="H227" s="1332"/>
      <c r="I227" s="1332"/>
      <c r="J227" s="1542"/>
      <c r="K227" s="85" t="s">
        <v>1364</v>
      </c>
      <c r="L227" s="1378"/>
      <c r="M227" s="29" t="s">
        <v>139</v>
      </c>
      <c r="N227" s="29" t="s">
        <v>162</v>
      </c>
      <c r="O227" s="1332"/>
      <c r="P227" s="1332"/>
      <c r="Q227" s="1332"/>
      <c r="R227" s="1332"/>
      <c r="S227" s="1332"/>
      <c r="T227" s="1332"/>
      <c r="U227" s="1332"/>
      <c r="V227" s="1332"/>
      <c r="W227" s="1332"/>
      <c r="X227" s="1332"/>
      <c r="Y227" s="1332"/>
      <c r="Z227" s="1332"/>
      <c r="AA227" s="1332"/>
    </row>
    <row r="228" spans="2:27" ht="12" customHeight="1">
      <c r="B228" s="1332"/>
      <c r="C228" s="1332"/>
      <c r="D228" s="1332"/>
      <c r="E228" s="1332"/>
      <c r="F228" s="1332"/>
      <c r="G228" s="1332"/>
      <c r="H228" s="1332"/>
      <c r="I228" s="1332"/>
      <c r="J228" s="1530" t="s">
        <v>973</v>
      </c>
      <c r="K228" s="85" t="s">
        <v>935</v>
      </c>
      <c r="L228" s="923">
        <v>0.30059999999999998</v>
      </c>
      <c r="M228" s="49" t="s">
        <v>142</v>
      </c>
      <c r="N228" s="49" t="s">
        <v>4154</v>
      </c>
      <c r="O228" s="1332" t="s">
        <v>4155</v>
      </c>
      <c r="P228" s="1332"/>
      <c r="Q228" s="1332"/>
      <c r="R228" s="1332"/>
      <c r="S228" s="1332"/>
      <c r="T228" s="1332"/>
      <c r="U228" s="1332"/>
      <c r="V228" s="1332"/>
      <c r="W228" s="1332"/>
      <c r="X228" s="1332"/>
      <c r="Y228" s="1332"/>
      <c r="Z228" s="1332"/>
      <c r="AA228" s="1332"/>
    </row>
    <row r="229" spans="2:27" ht="12" customHeight="1">
      <c r="B229" s="1332"/>
      <c r="C229" s="1332"/>
      <c r="D229" s="1332"/>
      <c r="E229" s="1332"/>
      <c r="F229" s="1332"/>
      <c r="G229" s="1332"/>
      <c r="H229" s="1332"/>
      <c r="I229" s="1332"/>
      <c r="J229" s="1542"/>
      <c r="K229" s="85" t="s">
        <v>977</v>
      </c>
      <c r="L229" s="1379">
        <v>0.72450000000000003</v>
      </c>
      <c r="M229" s="49" t="s">
        <v>142</v>
      </c>
      <c r="N229" s="49" t="s">
        <v>4156</v>
      </c>
      <c r="O229" s="1332"/>
      <c r="P229" s="1332"/>
      <c r="Q229" s="1332"/>
      <c r="R229" s="1332"/>
      <c r="S229" s="1332"/>
      <c r="T229" s="1332"/>
      <c r="U229" s="1332"/>
      <c r="V229" s="1332"/>
      <c r="W229" s="1332"/>
      <c r="X229" s="1332"/>
      <c r="Y229" s="1332"/>
      <c r="Z229" s="1332"/>
      <c r="AA229" s="1332"/>
    </row>
    <row r="230" spans="2:27" ht="12" customHeight="1">
      <c r="B230" s="1332"/>
      <c r="C230" s="1332"/>
      <c r="D230" s="1332"/>
      <c r="E230" s="1332"/>
      <c r="F230" s="1332"/>
      <c r="G230" s="1332"/>
      <c r="H230" s="1332"/>
      <c r="I230" s="1332"/>
      <c r="J230" s="1380"/>
      <c r="K230" s="85" t="s">
        <v>980</v>
      </c>
      <c r="L230" s="923">
        <v>0.59279166666666672</v>
      </c>
      <c r="M230" s="49" t="s">
        <v>142</v>
      </c>
      <c r="N230" s="49" t="s">
        <v>4156</v>
      </c>
      <c r="O230" s="1332"/>
      <c r="P230" s="1332"/>
      <c r="Q230" s="1332"/>
      <c r="R230" s="1332"/>
      <c r="S230" s="1332"/>
      <c r="T230" s="1332"/>
      <c r="U230" s="1332"/>
      <c r="V230" s="1332"/>
      <c r="W230" s="1332"/>
      <c r="X230" s="1332"/>
      <c r="Y230" s="1332"/>
      <c r="Z230" s="1332"/>
      <c r="AA230" s="1332"/>
    </row>
    <row r="231" spans="2:27" ht="12" customHeight="1">
      <c r="B231" s="1332"/>
      <c r="C231" s="1332"/>
      <c r="D231" s="1332"/>
      <c r="E231" s="1332"/>
      <c r="F231" s="1332"/>
      <c r="G231" s="1332"/>
      <c r="H231" s="1332"/>
      <c r="I231" s="1332"/>
      <c r="J231" s="1530" t="s">
        <v>983</v>
      </c>
      <c r="K231" s="64" t="s">
        <v>935</v>
      </c>
      <c r="L231" s="1381">
        <v>5.5028169014084506E-2</v>
      </c>
      <c r="M231" s="29" t="s">
        <v>142</v>
      </c>
      <c r="N231" s="1382" t="s">
        <v>4157</v>
      </c>
      <c r="O231" s="1332" t="s">
        <v>4158</v>
      </c>
      <c r="P231" s="1332"/>
      <c r="Q231" s="1332"/>
      <c r="R231" s="1332"/>
      <c r="S231" s="1332"/>
      <c r="T231" s="1332"/>
      <c r="U231" s="1332"/>
      <c r="V231" s="1332"/>
      <c r="W231" s="1332"/>
      <c r="X231" s="1332"/>
      <c r="Y231" s="1332"/>
      <c r="Z231" s="1332"/>
      <c r="AA231" s="1332"/>
    </row>
    <row r="232" spans="2:27" ht="12" customHeight="1">
      <c r="B232" s="1332"/>
      <c r="C232" s="1332"/>
      <c r="D232" s="1332"/>
      <c r="E232" s="1332"/>
      <c r="F232" s="1332"/>
      <c r="G232" s="1332"/>
      <c r="H232" s="1332"/>
      <c r="I232" s="1332"/>
      <c r="J232" s="1388"/>
      <c r="K232" s="64" t="s">
        <v>984</v>
      </c>
      <c r="L232" s="1381">
        <v>5.5028169014084506E-2</v>
      </c>
      <c r="M232" s="29" t="s">
        <v>142</v>
      </c>
      <c r="N232" s="1382" t="s">
        <v>4159</v>
      </c>
      <c r="O232" s="1332"/>
      <c r="P232" s="1332"/>
      <c r="Q232" s="1332"/>
      <c r="R232" s="1332"/>
      <c r="S232" s="1332"/>
      <c r="T232" s="1332"/>
      <c r="U232" s="1332"/>
      <c r="V232" s="1332"/>
      <c r="W232" s="1332"/>
      <c r="X232" s="1332"/>
      <c r="Y232" s="1332"/>
      <c r="Z232" s="1332"/>
      <c r="AA232" s="1332"/>
    </row>
    <row r="233" spans="2:27" ht="12" customHeight="1">
      <c r="B233" s="1332"/>
      <c r="C233" s="1332"/>
      <c r="D233" s="1332"/>
      <c r="E233" s="1332"/>
      <c r="F233" s="1332"/>
      <c r="G233" s="1332"/>
      <c r="H233" s="1332"/>
      <c r="I233" s="1332"/>
      <c r="J233" s="1587" t="s">
        <v>231</v>
      </c>
      <c r="K233" s="64" t="s">
        <v>4160</v>
      </c>
      <c r="L233" s="1378">
        <v>2.2524833333333331E-2</v>
      </c>
      <c r="M233" s="29" t="s">
        <v>153</v>
      </c>
      <c r="N233" s="29" t="s">
        <v>4161</v>
      </c>
      <c r="O233" s="1332"/>
      <c r="P233" s="1332"/>
      <c r="Q233" s="1332"/>
      <c r="R233" s="1332"/>
      <c r="S233" s="1332"/>
      <c r="T233" s="1332"/>
      <c r="U233" s="1332"/>
      <c r="V233" s="1332"/>
      <c r="W233" s="1332"/>
      <c r="X233" s="1332"/>
      <c r="Y233" s="1332"/>
      <c r="Z233" s="1332"/>
      <c r="AA233" s="1332"/>
    </row>
    <row r="234" spans="2:27" ht="12" customHeight="1">
      <c r="B234" s="1332"/>
      <c r="C234" s="1332"/>
      <c r="D234" s="1332"/>
      <c r="E234" s="1332"/>
      <c r="F234" s="1332"/>
      <c r="G234" s="1332"/>
      <c r="H234" s="1332"/>
      <c r="I234" s="1332"/>
      <c r="J234" s="1387"/>
      <c r="K234" s="64" t="s">
        <v>4162</v>
      </c>
      <c r="L234" s="1378">
        <v>2.3765000000000001</v>
      </c>
      <c r="M234" s="29" t="s">
        <v>153</v>
      </c>
      <c r="N234" s="29" t="s">
        <v>152</v>
      </c>
      <c r="O234" s="1332"/>
      <c r="P234" s="1332"/>
      <c r="Q234" s="1332"/>
      <c r="R234" s="1332"/>
      <c r="S234" s="1332"/>
      <c r="T234" s="1332"/>
      <c r="U234" s="1332"/>
      <c r="V234" s="1332"/>
      <c r="W234" s="1332"/>
      <c r="X234" s="1332"/>
      <c r="Y234" s="1332"/>
      <c r="Z234" s="1332"/>
      <c r="AA234" s="1332"/>
    </row>
    <row r="235" spans="2:27" ht="12" customHeight="1">
      <c r="B235" s="1332"/>
      <c r="C235" s="1332"/>
      <c r="D235" s="1332"/>
      <c r="E235" s="1332"/>
      <c r="F235" s="1332"/>
      <c r="G235" s="1332"/>
      <c r="H235" s="1332"/>
      <c r="I235" s="1332"/>
      <c r="J235" s="1387"/>
      <c r="K235" s="64" t="s">
        <v>4163</v>
      </c>
      <c r="L235" s="1378">
        <v>4.4936299999999996</v>
      </c>
      <c r="M235" s="29" t="s">
        <v>153</v>
      </c>
      <c r="N235" s="29" t="s">
        <v>152</v>
      </c>
      <c r="O235" s="1332"/>
      <c r="P235" s="1332"/>
      <c r="Q235" s="1332"/>
      <c r="R235" s="1332"/>
      <c r="S235" s="1332"/>
      <c r="T235" s="1332"/>
      <c r="U235" s="1332"/>
      <c r="V235" s="1332"/>
      <c r="W235" s="1332"/>
      <c r="X235" s="1332"/>
      <c r="Y235" s="1332"/>
      <c r="Z235" s="1332"/>
      <c r="AA235" s="1332"/>
    </row>
    <row r="236" spans="2:27" ht="12" customHeight="1">
      <c r="B236" s="1332"/>
      <c r="C236" s="1332"/>
      <c r="D236" s="1332"/>
      <c r="E236" s="1332"/>
      <c r="F236" s="1332"/>
      <c r="G236" s="1332"/>
      <c r="H236" s="1332"/>
      <c r="I236" s="1332"/>
      <c r="J236" s="1387"/>
      <c r="K236" s="64" t="s">
        <v>1936</v>
      </c>
      <c r="L236" s="1378">
        <v>0.13298742999999999</v>
      </c>
      <c r="M236" s="29" t="s">
        <v>153</v>
      </c>
      <c r="N236" s="29" t="s">
        <v>162</v>
      </c>
      <c r="O236" s="1332"/>
      <c r="P236" s="1332"/>
      <c r="Q236" s="1332"/>
      <c r="R236" s="1332"/>
      <c r="S236" s="1332"/>
      <c r="T236" s="1332"/>
      <c r="U236" s="1332"/>
      <c r="V236" s="1332"/>
      <c r="W236" s="1332"/>
      <c r="X236" s="1332"/>
      <c r="Y236" s="1332"/>
      <c r="Z236" s="1332"/>
      <c r="AA236" s="1332"/>
    </row>
    <row r="237" spans="2:27" ht="12" customHeight="1">
      <c r="B237" s="1332"/>
      <c r="C237" s="1332"/>
      <c r="D237" s="1332"/>
      <c r="E237" s="1332"/>
      <c r="F237" s="1332"/>
      <c r="G237" s="1332"/>
      <c r="H237" s="1332"/>
      <c r="I237" s="1332"/>
      <c r="J237" s="1387"/>
      <c r="K237" s="64" t="s">
        <v>4164</v>
      </c>
      <c r="L237" s="1378">
        <v>0.54064495999999995</v>
      </c>
      <c r="M237" s="29" t="s">
        <v>153</v>
      </c>
      <c r="N237" s="29" t="s">
        <v>162</v>
      </c>
      <c r="O237" s="1332"/>
      <c r="P237" s="1332"/>
      <c r="Q237" s="1332"/>
      <c r="R237" s="1332"/>
      <c r="S237" s="1332"/>
      <c r="T237" s="1332"/>
      <c r="U237" s="1332"/>
      <c r="V237" s="1332"/>
      <c r="W237" s="1332"/>
      <c r="X237" s="1332"/>
      <c r="Y237" s="1332"/>
      <c r="Z237" s="1332"/>
      <c r="AA237" s="1332"/>
    </row>
    <row r="238" spans="2:27" ht="12" customHeight="1">
      <c r="B238" s="1332"/>
      <c r="C238" s="1332"/>
      <c r="D238" s="1332"/>
      <c r="E238" s="1332"/>
      <c r="F238" s="1332"/>
      <c r="G238" s="1332"/>
      <c r="H238" s="1332"/>
      <c r="I238" s="1332"/>
      <c r="J238" s="1387"/>
      <c r="K238" s="64" t="s">
        <v>4165</v>
      </c>
      <c r="L238" s="1378">
        <v>0.22349691999999999</v>
      </c>
      <c r="M238" s="29" t="s">
        <v>153</v>
      </c>
      <c r="N238" s="29" t="s">
        <v>162</v>
      </c>
      <c r="O238" s="1332"/>
      <c r="P238" s="1332"/>
      <c r="Q238" s="1332"/>
      <c r="R238" s="1332"/>
      <c r="S238" s="1332"/>
      <c r="T238" s="1332"/>
      <c r="U238" s="1332"/>
      <c r="V238" s="1332"/>
      <c r="W238" s="1332"/>
      <c r="X238" s="1332"/>
      <c r="Y238" s="1332"/>
      <c r="Z238" s="1332"/>
      <c r="AA238" s="1332"/>
    </row>
    <row r="239" spans="2:27" ht="12" customHeight="1">
      <c r="B239" s="1332"/>
      <c r="C239" s="1332"/>
      <c r="D239" s="1332"/>
      <c r="E239" s="1332"/>
      <c r="F239" s="1332"/>
      <c r="G239" s="1332"/>
      <c r="H239" s="1332"/>
      <c r="I239" s="1332"/>
      <c r="J239" s="1387"/>
      <c r="K239" s="64" t="s">
        <v>4166</v>
      </c>
      <c r="L239" s="1378">
        <v>0.17157417</v>
      </c>
      <c r="M239" s="29" t="s">
        <v>153</v>
      </c>
      <c r="N239" s="29" t="s">
        <v>162</v>
      </c>
      <c r="O239" s="1332"/>
      <c r="P239" s="1332"/>
      <c r="Q239" s="1332"/>
      <c r="R239" s="1332"/>
      <c r="S239" s="1332"/>
      <c r="T239" s="1332"/>
      <c r="U239" s="1332"/>
      <c r="V239" s="1332"/>
      <c r="W239" s="1332"/>
      <c r="X239" s="1332"/>
      <c r="Y239" s="1332"/>
      <c r="Z239" s="1332"/>
      <c r="AA239" s="1332"/>
    </row>
    <row r="240" spans="2:27" ht="12" customHeight="1">
      <c r="B240" s="1332"/>
      <c r="C240" s="1332"/>
      <c r="D240" s="1332"/>
      <c r="E240" s="1332"/>
      <c r="F240" s="1332"/>
      <c r="G240" s="1332"/>
      <c r="H240" s="1332"/>
      <c r="I240" s="1332"/>
      <c r="J240" s="1387"/>
      <c r="K240" s="64" t="s">
        <v>4167</v>
      </c>
      <c r="L240" s="1378">
        <v>0.17157417</v>
      </c>
      <c r="M240" s="29" t="s">
        <v>153</v>
      </c>
      <c r="N240" s="29" t="s">
        <v>162</v>
      </c>
      <c r="O240" s="1332"/>
      <c r="P240" s="1332"/>
      <c r="Q240" s="1332"/>
      <c r="R240" s="1332"/>
      <c r="S240" s="1332"/>
      <c r="T240" s="1332"/>
      <c r="U240" s="1332"/>
      <c r="V240" s="1332"/>
      <c r="W240" s="1332"/>
      <c r="X240" s="1332"/>
      <c r="Y240" s="1332"/>
      <c r="Z240" s="1332"/>
      <c r="AA240" s="1332"/>
    </row>
    <row r="241" spans="2:27" ht="12" customHeight="1">
      <c r="B241" s="1332"/>
      <c r="C241" s="1332"/>
      <c r="D241" s="1332"/>
      <c r="E241" s="1332"/>
      <c r="F241" s="1332"/>
      <c r="G241" s="1332"/>
      <c r="H241" s="1332"/>
      <c r="I241" s="1332"/>
      <c r="J241" s="1387"/>
      <c r="K241" s="64" t="s">
        <v>4168</v>
      </c>
      <c r="L241" s="1378">
        <v>9.2621424999999993E-2</v>
      </c>
      <c r="M241" s="29" t="s">
        <v>153</v>
      </c>
      <c r="N241" s="29" t="s">
        <v>162</v>
      </c>
      <c r="O241" s="1332"/>
      <c r="P241" s="1332"/>
      <c r="Q241" s="1332"/>
      <c r="R241" s="1332"/>
      <c r="S241" s="1332"/>
      <c r="T241" s="1332"/>
      <c r="U241" s="1332"/>
      <c r="V241" s="1332"/>
      <c r="W241" s="1332"/>
      <c r="X241" s="1332"/>
      <c r="Y241" s="1332"/>
      <c r="Z241" s="1332"/>
      <c r="AA241" s="1332"/>
    </row>
    <row r="242" spans="2:27" ht="12" customHeight="1">
      <c r="B242" s="1332"/>
      <c r="C242" s="1332"/>
      <c r="D242" s="1332"/>
      <c r="E242" s="1332"/>
      <c r="F242" s="1332"/>
      <c r="G242" s="1332"/>
      <c r="H242" s="1332"/>
      <c r="I242" s="1332"/>
      <c r="J242" s="1387"/>
      <c r="K242" s="64" t="s">
        <v>4169</v>
      </c>
      <c r="L242" s="1378">
        <v>2.2524833333333331E-2</v>
      </c>
      <c r="M242" s="29" t="s">
        <v>153</v>
      </c>
      <c r="N242" s="29" t="s">
        <v>4161</v>
      </c>
      <c r="O242" s="1332"/>
      <c r="P242" s="1332"/>
      <c r="Q242" s="1332"/>
      <c r="R242" s="1332"/>
      <c r="S242" s="1332"/>
      <c r="T242" s="1332"/>
      <c r="U242" s="1332"/>
      <c r="V242" s="1332"/>
      <c r="W242" s="1332"/>
      <c r="X242" s="1332"/>
      <c r="Y242" s="1332"/>
      <c r="Z242" s="1332"/>
      <c r="AA242" s="1332"/>
    </row>
    <row r="243" spans="2:27" ht="12" customHeight="1">
      <c r="B243" s="1332"/>
      <c r="C243" s="1332"/>
      <c r="D243" s="1332"/>
      <c r="E243" s="1332"/>
      <c r="F243" s="1332"/>
      <c r="G243" s="1332"/>
      <c r="H243" s="1332"/>
      <c r="I243" s="1332"/>
      <c r="J243" s="1387"/>
      <c r="K243" s="64" t="s">
        <v>4170</v>
      </c>
      <c r="L243" s="1378">
        <v>2.2524833333333331E-2</v>
      </c>
      <c r="M243" s="29" t="s">
        <v>153</v>
      </c>
      <c r="N243" s="29" t="s">
        <v>4161</v>
      </c>
      <c r="O243" s="1332"/>
      <c r="P243" s="1332"/>
      <c r="Q243" s="1332"/>
      <c r="R243" s="1332"/>
      <c r="S243" s="1332"/>
      <c r="T243" s="1332"/>
      <c r="U243" s="1332"/>
      <c r="V243" s="1332"/>
      <c r="W243" s="1332"/>
      <c r="X243" s="1332"/>
      <c r="Y243" s="1332"/>
      <c r="Z243" s="1332"/>
      <c r="AA243" s="1332"/>
    </row>
    <row r="244" spans="2:27" ht="12" customHeight="1">
      <c r="B244" s="1332"/>
      <c r="C244" s="1332"/>
      <c r="D244" s="1332"/>
      <c r="E244" s="1332"/>
      <c r="F244" s="1332"/>
      <c r="G244" s="1332"/>
      <c r="H244" s="1332"/>
      <c r="I244" s="1332"/>
      <c r="J244" s="1387"/>
      <c r="K244" s="64" t="s">
        <v>4171</v>
      </c>
      <c r="L244" s="1378">
        <v>2.2524833333333331E-2</v>
      </c>
      <c r="M244" s="29" t="s">
        <v>153</v>
      </c>
      <c r="N244" s="29" t="s">
        <v>4161</v>
      </c>
      <c r="O244" s="1332"/>
      <c r="P244" s="1332"/>
      <c r="Q244" s="1332"/>
      <c r="R244" s="1332"/>
      <c r="S244" s="1332"/>
      <c r="T244" s="1332"/>
      <c r="U244" s="1332"/>
      <c r="V244" s="1332"/>
      <c r="W244" s="1332"/>
      <c r="X244" s="1332"/>
      <c r="Y244" s="1332"/>
      <c r="Z244" s="1332"/>
      <c r="AA244" s="1332"/>
    </row>
    <row r="245" spans="2:27" ht="12" customHeight="1">
      <c r="B245" s="1332"/>
      <c r="C245" s="1332"/>
      <c r="D245" s="1332"/>
      <c r="E245" s="1332"/>
      <c r="F245" s="1332"/>
      <c r="G245" s="1332"/>
      <c r="H245" s="1332"/>
      <c r="I245" s="1332"/>
      <c r="J245" s="1387"/>
      <c r="K245" s="64" t="s">
        <v>4172</v>
      </c>
      <c r="L245" s="1378">
        <v>2.2524833333333331E-2</v>
      </c>
      <c r="M245" s="29" t="s">
        <v>153</v>
      </c>
      <c r="N245" s="29" t="s">
        <v>4161</v>
      </c>
      <c r="O245" s="1332"/>
      <c r="P245" s="1332"/>
      <c r="Q245" s="1332"/>
      <c r="R245" s="1332"/>
      <c r="S245" s="1332"/>
      <c r="T245" s="1332"/>
      <c r="U245" s="1332"/>
      <c r="V245" s="1332"/>
      <c r="W245" s="1332"/>
      <c r="X245" s="1332"/>
      <c r="Y245" s="1332"/>
      <c r="Z245" s="1332"/>
      <c r="AA245" s="1332"/>
    </row>
    <row r="246" spans="2:27" ht="12" customHeight="1">
      <c r="B246" s="1332"/>
      <c r="C246" s="1332"/>
      <c r="D246" s="1332"/>
      <c r="E246" s="1332"/>
      <c r="F246" s="1332"/>
      <c r="G246" s="1332"/>
      <c r="H246" s="1332"/>
      <c r="I246" s="1332"/>
      <c r="J246" s="1387"/>
      <c r="K246" s="64" t="s">
        <v>4173</v>
      </c>
      <c r="L246" s="1378">
        <v>2.2524833333333331E-2</v>
      </c>
      <c r="M246" s="29" t="s">
        <v>153</v>
      </c>
      <c r="N246" s="29" t="s">
        <v>4161</v>
      </c>
      <c r="O246" s="1332"/>
      <c r="P246" s="1332"/>
      <c r="Q246" s="1332"/>
      <c r="R246" s="1332"/>
      <c r="S246" s="1332"/>
      <c r="T246" s="1332"/>
      <c r="U246" s="1332"/>
      <c r="V246" s="1332"/>
      <c r="W246" s="1332"/>
      <c r="X246" s="1332"/>
      <c r="Y246" s="1332"/>
      <c r="Z246" s="1332"/>
      <c r="AA246" s="1332"/>
    </row>
    <row r="247" spans="2:27" ht="12" customHeight="1">
      <c r="B247" s="1332"/>
      <c r="C247" s="1332"/>
      <c r="D247" s="1332"/>
      <c r="E247" s="1332"/>
      <c r="F247" s="1332"/>
      <c r="G247" s="1332"/>
      <c r="H247" s="1332"/>
      <c r="I247" s="1332"/>
      <c r="J247" s="1387"/>
      <c r="K247" s="64" t="s">
        <v>4174</v>
      </c>
      <c r="L247" s="1378">
        <v>2.2524833333333331E-2</v>
      </c>
      <c r="M247" s="29" t="s">
        <v>153</v>
      </c>
      <c r="N247" s="29" t="s">
        <v>4161</v>
      </c>
      <c r="O247" s="1332"/>
      <c r="P247" s="1332"/>
      <c r="Q247" s="1332"/>
      <c r="R247" s="1332"/>
      <c r="S247" s="1332"/>
      <c r="T247" s="1332"/>
      <c r="U247" s="1332"/>
      <c r="V247" s="1332"/>
      <c r="W247" s="1332"/>
      <c r="X247" s="1332"/>
      <c r="Y247" s="1332"/>
      <c r="Z247" s="1332"/>
      <c r="AA247" s="1332"/>
    </row>
    <row r="248" spans="2:27" ht="12" customHeight="1">
      <c r="B248" s="1332"/>
      <c r="C248" s="1332"/>
      <c r="D248" s="1332"/>
      <c r="E248" s="1332"/>
      <c r="F248" s="1332"/>
      <c r="G248" s="1332"/>
      <c r="H248" s="1332"/>
      <c r="I248" s="1332"/>
      <c r="J248" s="1388"/>
      <c r="K248" s="29" t="s">
        <v>911</v>
      </c>
      <c r="L248" s="1378">
        <v>2.2524833333333331E-2</v>
      </c>
      <c r="M248" s="29" t="s">
        <v>153</v>
      </c>
      <c r="N248" s="29" t="s">
        <v>4161</v>
      </c>
      <c r="O248" s="1332"/>
      <c r="P248" s="1332"/>
      <c r="Q248" s="1332"/>
      <c r="R248" s="1332"/>
      <c r="S248" s="1332"/>
      <c r="T248" s="1332"/>
      <c r="U248" s="1332"/>
      <c r="V248" s="1332"/>
      <c r="W248" s="1332"/>
      <c r="X248" s="1332"/>
      <c r="Y248" s="1332"/>
      <c r="Z248" s="1332"/>
      <c r="AA248" s="1332"/>
    </row>
    <row r="249" spans="2:27" ht="12" customHeight="1">
      <c r="B249" s="1332"/>
      <c r="C249" s="1332"/>
      <c r="D249" s="1332"/>
      <c r="E249" s="1332"/>
      <c r="F249" s="1332"/>
      <c r="G249" s="1332"/>
      <c r="H249" s="1332"/>
      <c r="I249" s="1332"/>
      <c r="J249" s="1587" t="s">
        <v>101</v>
      </c>
      <c r="K249" s="29" t="s">
        <v>4175</v>
      </c>
      <c r="L249" s="1378">
        <v>0.13712480942223215</v>
      </c>
      <c r="M249" s="29" t="s">
        <v>4176</v>
      </c>
      <c r="N249" s="29" t="s">
        <v>4177</v>
      </c>
      <c r="O249" s="1332"/>
      <c r="P249" s="1332"/>
      <c r="Q249" s="1332"/>
      <c r="R249" s="1332"/>
      <c r="S249" s="1332"/>
      <c r="T249" s="1332"/>
      <c r="U249" s="1332"/>
      <c r="V249" s="1332"/>
      <c r="W249" s="1332"/>
      <c r="X249" s="1332"/>
      <c r="Y249" s="1332"/>
      <c r="Z249" s="1332"/>
      <c r="AA249" s="1332"/>
    </row>
    <row r="250" spans="2:27" ht="12" customHeight="1">
      <c r="B250" s="1332"/>
      <c r="C250" s="1332"/>
      <c r="D250" s="1332"/>
      <c r="E250" s="1332"/>
      <c r="F250" s="1332"/>
      <c r="G250" s="1332"/>
      <c r="H250" s="1332"/>
      <c r="I250" s="1332"/>
      <c r="J250" s="1387"/>
      <c r="K250" s="29" t="s">
        <v>4178</v>
      </c>
      <c r="L250" s="1378">
        <v>0.39764000000000005</v>
      </c>
      <c r="M250" s="29" t="s">
        <v>4176</v>
      </c>
      <c r="N250" s="29" t="s">
        <v>4177</v>
      </c>
      <c r="O250" s="1332"/>
      <c r="P250" s="1332"/>
      <c r="Q250" s="1332"/>
      <c r="R250" s="1332"/>
      <c r="S250" s="1332"/>
      <c r="T250" s="1332"/>
      <c r="U250" s="1332"/>
      <c r="V250" s="1332"/>
      <c r="W250" s="1332"/>
      <c r="X250" s="1332"/>
      <c r="Y250" s="1332"/>
      <c r="Z250" s="1332"/>
      <c r="AA250" s="1332"/>
    </row>
    <row r="251" spans="2:27" ht="12" customHeight="1">
      <c r="B251" s="1332"/>
      <c r="C251" s="1332"/>
      <c r="D251" s="1332"/>
      <c r="E251" s="1332"/>
      <c r="F251" s="1332"/>
      <c r="G251" s="1332"/>
      <c r="H251" s="1332"/>
      <c r="I251" s="1332"/>
      <c r="J251" s="1387"/>
      <c r="K251" s="29" t="s">
        <v>4179</v>
      </c>
      <c r="L251" s="1378">
        <v>0.54845999999999995</v>
      </c>
      <c r="M251" s="29" t="s">
        <v>4176</v>
      </c>
      <c r="N251" s="29" t="s">
        <v>4177</v>
      </c>
      <c r="O251" s="1332"/>
      <c r="P251" s="1332"/>
      <c r="Q251" s="1332"/>
      <c r="R251" s="1332"/>
      <c r="S251" s="1332"/>
      <c r="T251" s="1332"/>
      <c r="U251" s="1332"/>
      <c r="V251" s="1332"/>
      <c r="W251" s="1332"/>
      <c r="X251" s="1332"/>
      <c r="Y251" s="1332"/>
      <c r="Z251" s="1332"/>
      <c r="AA251" s="1332"/>
    </row>
    <row r="252" spans="2:27" ht="12" customHeight="1">
      <c r="B252" s="1332"/>
      <c r="C252" s="1332"/>
      <c r="D252" s="1332"/>
      <c r="E252" s="1332"/>
      <c r="F252" s="1332"/>
      <c r="G252" s="1332"/>
      <c r="H252" s="1332"/>
      <c r="I252" s="1332"/>
      <c r="J252" s="1387"/>
      <c r="K252" s="29" t="s">
        <v>4180</v>
      </c>
      <c r="L252" s="1378">
        <v>0.96616840000000004</v>
      </c>
      <c r="M252" s="29" t="s">
        <v>191</v>
      </c>
      <c r="N252" s="29" t="s">
        <v>156</v>
      </c>
      <c r="O252" s="1332"/>
      <c r="P252" s="1332"/>
      <c r="Q252" s="1332"/>
      <c r="R252" s="1332"/>
      <c r="S252" s="1332"/>
      <c r="T252" s="1332"/>
      <c r="U252" s="1332"/>
      <c r="V252" s="1332"/>
      <c r="W252" s="1332"/>
      <c r="X252" s="1332"/>
      <c r="Y252" s="1332"/>
      <c r="Z252" s="1332"/>
      <c r="AA252" s="1332"/>
    </row>
    <row r="253" spans="2:27" ht="12" customHeight="1">
      <c r="B253" s="1332"/>
      <c r="C253" s="1332"/>
      <c r="D253" s="1332"/>
      <c r="E253" s="1332"/>
      <c r="F253" s="1332"/>
      <c r="G253" s="1332"/>
      <c r="H253" s="1332"/>
      <c r="I253" s="1332"/>
      <c r="J253" s="1388"/>
      <c r="K253" s="29" t="s">
        <v>855</v>
      </c>
      <c r="L253" s="1378">
        <v>0.33545771000000002</v>
      </c>
      <c r="M253" s="29" t="s">
        <v>4176</v>
      </c>
      <c r="N253" s="29" t="s">
        <v>162</v>
      </c>
      <c r="O253" s="1332"/>
      <c r="P253" s="1332"/>
      <c r="Q253" s="1332"/>
      <c r="R253" s="1332"/>
      <c r="S253" s="1332"/>
      <c r="T253" s="1332"/>
      <c r="U253" s="1332"/>
      <c r="V253" s="1332"/>
      <c r="W253" s="1332"/>
      <c r="X253" s="1332"/>
      <c r="Y253" s="1332"/>
      <c r="Z253" s="1332"/>
      <c r="AA253" s="1332"/>
    </row>
    <row r="254" spans="2:27" ht="12" customHeight="1">
      <c r="B254" s="1332"/>
      <c r="C254" s="1332"/>
      <c r="D254" s="1332"/>
      <c r="E254" s="1332"/>
      <c r="F254" s="1332"/>
      <c r="G254" s="1332"/>
      <c r="H254" s="1332"/>
      <c r="I254" s="1332"/>
      <c r="J254" s="1530" t="s">
        <v>4045</v>
      </c>
      <c r="K254" s="29" t="s">
        <v>443</v>
      </c>
      <c r="L254" s="1378">
        <f t="shared" ref="L254:L255" si="3">+D62/(1000/R23)</f>
        <v>0.12312000000000002</v>
      </c>
      <c r="M254" s="29" t="s">
        <v>126</v>
      </c>
      <c r="N254" s="1383" t="s">
        <v>4047</v>
      </c>
      <c r="O254" s="1332"/>
      <c r="P254" s="1332"/>
      <c r="Q254" s="1332"/>
      <c r="R254" s="1332"/>
      <c r="S254" s="1332"/>
      <c r="T254" s="1332"/>
      <c r="U254" s="1332"/>
      <c r="V254" s="1332"/>
      <c r="W254" s="1332"/>
      <c r="X254" s="1332"/>
      <c r="Y254" s="1332"/>
      <c r="Z254" s="1332"/>
      <c r="AA254" s="1332"/>
    </row>
    <row r="255" spans="2:27" ht="12" customHeight="1">
      <c r="B255" s="1332"/>
      <c r="C255" s="1332"/>
      <c r="D255" s="1332"/>
      <c r="E255" s="1332"/>
      <c r="F255" s="1332"/>
      <c r="G255" s="1332"/>
      <c r="H255" s="1332"/>
      <c r="I255" s="1332"/>
      <c r="J255" s="1387"/>
      <c r="K255" s="29" t="s">
        <v>439</v>
      </c>
      <c r="L255" s="1378">
        <f t="shared" si="3"/>
        <v>0.13427999999999998</v>
      </c>
      <c r="M255" s="29" t="s">
        <v>126</v>
      </c>
      <c r="N255" s="29" t="s">
        <v>4047</v>
      </c>
      <c r="O255" s="1332"/>
      <c r="P255" s="1332"/>
      <c r="Q255" s="1332"/>
      <c r="R255" s="1332"/>
      <c r="S255" s="1332"/>
      <c r="T255" s="1332"/>
      <c r="U255" s="1332"/>
      <c r="V255" s="1332"/>
      <c r="W255" s="1332"/>
      <c r="X255" s="1332"/>
      <c r="Y255" s="1332"/>
      <c r="Z255" s="1332"/>
      <c r="AA255" s="1332"/>
    </row>
    <row r="256" spans="2:27" ht="12" customHeight="1">
      <c r="B256" s="1332"/>
      <c r="C256" s="1332"/>
      <c r="D256" s="1332"/>
      <c r="E256" s="1332"/>
      <c r="F256" s="1332"/>
      <c r="G256" s="1332"/>
      <c r="H256" s="1332"/>
      <c r="I256" s="1332"/>
      <c r="J256" s="1387"/>
      <c r="K256" s="29" t="s">
        <v>565</v>
      </c>
      <c r="L256" s="1378">
        <f>+L255</f>
        <v>0.13427999999999998</v>
      </c>
      <c r="M256" s="29" t="s">
        <v>126</v>
      </c>
      <c r="N256" s="29" t="s">
        <v>4047</v>
      </c>
      <c r="O256" s="1332"/>
      <c r="P256" s="1332"/>
      <c r="Q256" s="1332"/>
      <c r="R256" s="1332"/>
      <c r="S256" s="1332"/>
      <c r="T256" s="1332"/>
      <c r="U256" s="1332"/>
      <c r="V256" s="1332"/>
      <c r="W256" s="1332"/>
      <c r="X256" s="1332"/>
      <c r="Y256" s="1332"/>
      <c r="Z256" s="1332"/>
      <c r="AA256" s="1332"/>
    </row>
    <row r="257" spans="2:27" ht="12" customHeight="1">
      <c r="B257" s="1332"/>
      <c r="C257" s="1332"/>
      <c r="D257" s="1332"/>
      <c r="E257" s="1332"/>
      <c r="F257" s="1332"/>
      <c r="G257" s="1332"/>
      <c r="H257" s="1332"/>
      <c r="I257" s="1332"/>
      <c r="J257" s="1387"/>
      <c r="K257" s="29" t="s">
        <v>3934</v>
      </c>
      <c r="L257" s="1378">
        <f>+D65/(1000/AVERAGE(R21:R22))</f>
        <v>9.5760000000000012E-2</v>
      </c>
      <c r="M257" s="29" t="s">
        <v>126</v>
      </c>
      <c r="N257" s="29" t="s">
        <v>4047</v>
      </c>
      <c r="O257" s="1332"/>
      <c r="P257" s="1332"/>
      <c r="Q257" s="1332"/>
      <c r="R257" s="1332"/>
      <c r="S257" s="1332"/>
      <c r="T257" s="1332"/>
      <c r="U257" s="1332"/>
      <c r="V257" s="1332"/>
      <c r="W257" s="1332"/>
      <c r="X257" s="1332"/>
      <c r="Y257" s="1332"/>
      <c r="Z257" s="1332"/>
      <c r="AA257" s="1332"/>
    </row>
    <row r="258" spans="2:27" ht="12" customHeight="1">
      <c r="B258" s="1332"/>
      <c r="C258" s="1332"/>
      <c r="D258" s="1332"/>
      <c r="E258" s="1332"/>
      <c r="F258" s="1332"/>
      <c r="G258" s="1332"/>
      <c r="H258" s="1332"/>
      <c r="I258" s="1332"/>
      <c r="J258" s="1387"/>
      <c r="K258" s="29" t="s">
        <v>3940</v>
      </c>
      <c r="L258" s="1378">
        <f>+D66/(1000/R25)</f>
        <v>0.1188</v>
      </c>
      <c r="M258" s="29" t="s">
        <v>126</v>
      </c>
      <c r="N258" s="29" t="s">
        <v>4047</v>
      </c>
      <c r="O258" s="1332"/>
      <c r="P258" s="1332"/>
      <c r="Q258" s="1332"/>
      <c r="R258" s="1332"/>
      <c r="S258" s="1332"/>
      <c r="T258" s="1332"/>
      <c r="U258" s="1332"/>
      <c r="V258" s="1332"/>
      <c r="W258" s="1332"/>
      <c r="X258" s="1332"/>
      <c r="Y258" s="1332"/>
      <c r="Z258" s="1332"/>
      <c r="AA258" s="1332"/>
    </row>
    <row r="259" spans="2:27" ht="12" customHeight="1">
      <c r="B259" s="1332"/>
      <c r="C259" s="1332"/>
      <c r="D259" s="1332"/>
      <c r="E259" s="1332"/>
      <c r="F259" s="1332"/>
      <c r="G259" s="1332"/>
      <c r="H259" s="1332"/>
      <c r="I259" s="1332"/>
      <c r="J259" s="1387"/>
      <c r="K259" s="29" t="s">
        <v>3939</v>
      </c>
      <c r="L259" s="1378"/>
      <c r="M259" s="29" t="s">
        <v>126</v>
      </c>
      <c r="N259" s="29" t="s">
        <v>4047</v>
      </c>
      <c r="O259" s="1332"/>
      <c r="P259" s="1332"/>
      <c r="Q259" s="1332"/>
      <c r="R259" s="1332"/>
      <c r="S259" s="1332"/>
      <c r="T259" s="1332"/>
      <c r="U259" s="1332"/>
      <c r="V259" s="1332"/>
      <c r="W259" s="1332"/>
      <c r="X259" s="1332"/>
      <c r="Y259" s="1332"/>
      <c r="Z259" s="1332"/>
      <c r="AA259" s="1332"/>
    </row>
    <row r="260" spans="2:27" ht="12" customHeight="1">
      <c r="B260" s="1332"/>
      <c r="C260" s="1332"/>
      <c r="D260" s="1332"/>
      <c r="E260" s="1332"/>
      <c r="F260" s="1332"/>
      <c r="G260" s="1332"/>
      <c r="H260" s="1332"/>
      <c r="I260" s="1332"/>
      <c r="J260" s="1388"/>
      <c r="K260" s="29" t="s">
        <v>448</v>
      </c>
      <c r="L260" s="1378">
        <f>+D68/(1000/R20)</f>
        <v>3.3260499999999998E-4</v>
      </c>
      <c r="M260" s="29" t="s">
        <v>126</v>
      </c>
      <c r="N260" s="29" t="s">
        <v>4047</v>
      </c>
      <c r="O260" s="1332"/>
      <c r="P260" s="1332"/>
      <c r="Q260" s="1332"/>
      <c r="R260" s="1332"/>
      <c r="S260" s="1332"/>
      <c r="T260" s="1332"/>
      <c r="U260" s="1332"/>
      <c r="V260" s="1332"/>
      <c r="W260" s="1332"/>
      <c r="X260" s="1332"/>
      <c r="Y260" s="1332"/>
      <c r="Z260" s="1332"/>
      <c r="AA260" s="1332"/>
    </row>
    <row r="261" spans="2:27" ht="12" customHeight="1">
      <c r="B261" s="1332"/>
      <c r="C261" s="1332"/>
      <c r="D261" s="1332"/>
      <c r="E261" s="1332"/>
      <c r="F261" s="1332"/>
      <c r="G261" s="1332"/>
      <c r="H261" s="1332"/>
      <c r="I261" s="1332"/>
      <c r="J261" s="1588" t="s">
        <v>4063</v>
      </c>
      <c r="K261" s="29" t="s">
        <v>443</v>
      </c>
      <c r="L261" s="1378">
        <f t="shared" ref="L261:L262" si="4">+L254</f>
        <v>0.12312000000000002</v>
      </c>
      <c r="M261" s="29" t="s">
        <v>126</v>
      </c>
      <c r="N261" s="29" t="s">
        <v>4047</v>
      </c>
      <c r="O261" s="1332"/>
      <c r="P261" s="1332"/>
      <c r="Q261" s="1332"/>
      <c r="R261" s="1332"/>
      <c r="S261" s="1332"/>
      <c r="T261" s="1332"/>
      <c r="U261" s="1332"/>
      <c r="V261" s="1332"/>
      <c r="W261" s="1332"/>
      <c r="X261" s="1332"/>
      <c r="Y261" s="1332"/>
      <c r="Z261" s="1332"/>
      <c r="AA261" s="1332"/>
    </row>
    <row r="262" spans="2:27" ht="12" customHeight="1">
      <c r="B262" s="1332"/>
      <c r="C262" s="1332"/>
      <c r="D262" s="1332"/>
      <c r="E262" s="1332"/>
      <c r="F262" s="1332"/>
      <c r="G262" s="1332"/>
      <c r="H262" s="1332"/>
      <c r="I262" s="1332"/>
      <c r="J262" s="1387"/>
      <c r="K262" s="29" t="s">
        <v>453</v>
      </c>
      <c r="L262" s="1378">
        <f t="shared" si="4"/>
        <v>0.13427999999999998</v>
      </c>
      <c r="M262" s="29" t="s">
        <v>126</v>
      </c>
      <c r="N262" s="29" t="s">
        <v>4047</v>
      </c>
      <c r="O262" s="1332"/>
      <c r="P262" s="1332"/>
      <c r="Q262" s="1332"/>
      <c r="R262" s="1332"/>
      <c r="S262" s="1332"/>
      <c r="T262" s="1332"/>
      <c r="U262" s="1332"/>
      <c r="V262" s="1332"/>
      <c r="W262" s="1332"/>
      <c r="X262" s="1332"/>
      <c r="Y262" s="1332"/>
      <c r="Z262" s="1332"/>
      <c r="AA262" s="1332"/>
    </row>
    <row r="263" spans="2:27" ht="12" customHeight="1">
      <c r="B263" s="1332"/>
      <c r="C263" s="1332"/>
      <c r="D263" s="1332"/>
      <c r="E263" s="1332"/>
      <c r="F263" s="1332"/>
      <c r="G263" s="1332"/>
      <c r="H263" s="1332"/>
      <c r="I263" s="1332"/>
      <c r="J263" s="1387"/>
      <c r="K263" s="29" t="s">
        <v>448</v>
      </c>
      <c r="L263" s="1378">
        <f>+L260</f>
        <v>3.3260499999999998E-4</v>
      </c>
      <c r="M263" s="29" t="s">
        <v>126</v>
      </c>
      <c r="N263" s="1382" t="s">
        <v>4047</v>
      </c>
      <c r="O263" s="1332"/>
      <c r="P263" s="1332"/>
      <c r="Q263" s="1332"/>
      <c r="R263" s="1332"/>
      <c r="S263" s="1332"/>
      <c r="T263" s="1332"/>
      <c r="U263" s="1332"/>
      <c r="V263" s="1332"/>
      <c r="W263" s="1332"/>
      <c r="X263" s="1332"/>
      <c r="Y263" s="1332"/>
      <c r="Z263" s="1332"/>
      <c r="AA263" s="1332"/>
    </row>
    <row r="264" spans="2:27" ht="12" customHeight="1">
      <c r="B264" s="1332"/>
      <c r="C264" s="1332"/>
      <c r="D264" s="1332"/>
      <c r="E264" s="1332"/>
      <c r="F264" s="1332"/>
      <c r="G264" s="1332"/>
      <c r="H264" s="1332"/>
      <c r="I264" s="1332"/>
      <c r="J264" s="1387"/>
      <c r="K264" s="29" t="s">
        <v>3934</v>
      </c>
      <c r="L264" s="1378">
        <f>+L257</f>
        <v>9.5760000000000012E-2</v>
      </c>
      <c r="M264" s="29" t="s">
        <v>126</v>
      </c>
      <c r="N264" s="1382" t="s">
        <v>4047</v>
      </c>
      <c r="O264" s="1332"/>
      <c r="P264" s="1332"/>
      <c r="Q264" s="1332"/>
      <c r="R264" s="1332"/>
      <c r="S264" s="1332"/>
      <c r="T264" s="1332"/>
      <c r="U264" s="1332"/>
      <c r="V264" s="1332"/>
      <c r="W264" s="1332"/>
      <c r="X264" s="1332"/>
      <c r="Y264" s="1332"/>
      <c r="Z264" s="1332"/>
      <c r="AA264" s="1332"/>
    </row>
    <row r="265" spans="2:27" ht="12" customHeight="1">
      <c r="B265" s="1332"/>
      <c r="C265" s="1332"/>
      <c r="D265" s="1332"/>
      <c r="E265" s="1332"/>
      <c r="F265" s="1332"/>
      <c r="G265" s="1332"/>
      <c r="H265" s="1332"/>
      <c r="I265" s="1332"/>
      <c r="J265" s="1387"/>
      <c r="K265" s="29" t="s">
        <v>3939</v>
      </c>
      <c r="L265" s="1378">
        <f>+L259</f>
        <v>0</v>
      </c>
      <c r="M265" s="29" t="s">
        <v>126</v>
      </c>
      <c r="N265" s="29" t="s">
        <v>4047</v>
      </c>
      <c r="O265" s="1332"/>
      <c r="P265" s="1332"/>
      <c r="Q265" s="1332"/>
      <c r="R265" s="1332"/>
      <c r="S265" s="1332"/>
      <c r="T265" s="1332"/>
      <c r="U265" s="1332"/>
      <c r="V265" s="1332"/>
      <c r="W265" s="1332"/>
      <c r="X265" s="1332"/>
      <c r="Y265" s="1332"/>
      <c r="Z265" s="1332"/>
      <c r="AA265" s="1332"/>
    </row>
    <row r="266" spans="2:27" ht="12" customHeight="1">
      <c r="B266" s="1332"/>
      <c r="C266" s="1332"/>
      <c r="D266" s="1332"/>
      <c r="E266" s="1332"/>
      <c r="F266" s="1332"/>
      <c r="G266" s="1332"/>
      <c r="H266" s="1332"/>
      <c r="I266" s="1332"/>
      <c r="J266" s="1388"/>
      <c r="K266" s="29" t="s">
        <v>3940</v>
      </c>
      <c r="L266" s="1378">
        <f>+L258</f>
        <v>0.1188</v>
      </c>
      <c r="M266" s="29" t="s">
        <v>126</v>
      </c>
      <c r="N266" s="29" t="s">
        <v>4047</v>
      </c>
      <c r="O266" s="1332"/>
      <c r="P266" s="1332"/>
      <c r="Q266" s="1332"/>
      <c r="R266" s="1332"/>
      <c r="S266" s="1332"/>
      <c r="T266" s="1332"/>
      <c r="U266" s="1332"/>
      <c r="V266" s="1332"/>
      <c r="W266" s="1332"/>
      <c r="X266" s="1332"/>
      <c r="Y266" s="1332"/>
      <c r="Z266" s="1332"/>
      <c r="AA266" s="1332"/>
    </row>
    <row r="267" spans="2:27" ht="12" customHeight="1">
      <c r="B267" s="1332"/>
      <c r="C267" s="1332"/>
      <c r="D267" s="1332"/>
      <c r="E267" s="1332"/>
      <c r="F267" s="1332"/>
      <c r="G267" s="1332"/>
      <c r="H267" s="1332"/>
      <c r="I267" s="1332"/>
      <c r="J267" s="1589" t="s">
        <v>92</v>
      </c>
      <c r="K267" s="49" t="s">
        <v>861</v>
      </c>
      <c r="L267" s="923">
        <v>1.1280857E-2</v>
      </c>
      <c r="M267" s="862" t="s">
        <v>195</v>
      </c>
      <c r="N267" s="29" t="s">
        <v>162</v>
      </c>
      <c r="O267" s="1332"/>
      <c r="P267" s="1332"/>
      <c r="Q267" s="1332"/>
      <c r="R267" s="1332"/>
      <c r="S267" s="1332"/>
      <c r="T267" s="1332"/>
      <c r="U267" s="1332"/>
      <c r="V267" s="1332"/>
      <c r="W267" s="1332"/>
      <c r="X267" s="1332"/>
      <c r="Y267" s="1332"/>
      <c r="Z267" s="1332"/>
      <c r="AA267" s="1332"/>
    </row>
    <row r="268" spans="2:27" ht="12" customHeight="1">
      <c r="B268" s="1332"/>
      <c r="C268" s="1332"/>
      <c r="D268" s="1332"/>
      <c r="E268" s="1332"/>
      <c r="F268" s="1332"/>
      <c r="G268" s="1332"/>
      <c r="H268" s="1332"/>
      <c r="I268" s="1332"/>
      <c r="J268" s="1387"/>
      <c r="K268" s="49" t="s">
        <v>911</v>
      </c>
      <c r="L268" s="923">
        <v>7.7078425000000006E-2</v>
      </c>
      <c r="M268" s="862" t="s">
        <v>195</v>
      </c>
      <c r="N268" s="29" t="s">
        <v>162</v>
      </c>
      <c r="O268" s="1332"/>
      <c r="P268" s="1332"/>
      <c r="Q268" s="1332"/>
      <c r="R268" s="1332"/>
      <c r="S268" s="1332"/>
      <c r="T268" s="1332"/>
      <c r="U268" s="1332"/>
      <c r="V268" s="1332"/>
      <c r="W268" s="1332"/>
      <c r="X268" s="1332"/>
      <c r="Y268" s="1332"/>
      <c r="Z268" s="1332"/>
      <c r="AA268" s="1332"/>
    </row>
    <row r="269" spans="2:27" ht="12" customHeight="1">
      <c r="B269" s="1332"/>
      <c r="C269" s="1332"/>
      <c r="D269" s="1332"/>
      <c r="E269" s="1332"/>
      <c r="F269" s="1332"/>
      <c r="G269" s="1332"/>
      <c r="H269" s="1332"/>
      <c r="I269" s="1332"/>
      <c r="J269" s="1387"/>
      <c r="K269" s="49" t="s">
        <v>855</v>
      </c>
      <c r="L269" s="923">
        <v>0.33545771000000002</v>
      </c>
      <c r="M269" s="49" t="s">
        <v>4181</v>
      </c>
      <c r="N269" s="29" t="s">
        <v>162</v>
      </c>
      <c r="O269" s="1332"/>
      <c r="P269" s="1332"/>
      <c r="Q269" s="1332"/>
      <c r="R269" s="1332"/>
      <c r="S269" s="1332"/>
      <c r="T269" s="1332"/>
      <c r="U269" s="1332"/>
      <c r="V269" s="1332"/>
      <c r="W269" s="1332"/>
      <c r="X269" s="1332"/>
      <c r="Y269" s="1332"/>
      <c r="Z269" s="1332"/>
      <c r="AA269" s="1332"/>
    </row>
    <row r="270" spans="2:27" ht="12" customHeight="1">
      <c r="B270" s="1332"/>
      <c r="C270" s="1332"/>
      <c r="D270" s="1332"/>
      <c r="E270" s="1332"/>
      <c r="F270" s="1332"/>
      <c r="G270" s="1332"/>
      <c r="H270" s="1332"/>
      <c r="I270" s="1332"/>
      <c r="J270" s="1387"/>
      <c r="K270" s="49" t="s">
        <v>863</v>
      </c>
      <c r="L270" s="923">
        <v>0.12418301</v>
      </c>
      <c r="M270" s="862" t="s">
        <v>195</v>
      </c>
      <c r="N270" s="29" t="s">
        <v>162</v>
      </c>
      <c r="O270" s="1332"/>
      <c r="P270" s="1332"/>
      <c r="Q270" s="1332"/>
      <c r="R270" s="1332"/>
      <c r="S270" s="1332"/>
      <c r="T270" s="1332"/>
      <c r="U270" s="1332"/>
      <c r="V270" s="1332"/>
      <c r="W270" s="1332"/>
      <c r="X270" s="1332"/>
      <c r="Y270" s="1332"/>
      <c r="Z270" s="1332"/>
      <c r="AA270" s="1332"/>
    </row>
    <row r="271" spans="2:27" ht="12" customHeight="1">
      <c r="B271" s="1332"/>
      <c r="C271" s="1332"/>
      <c r="D271" s="1332"/>
      <c r="E271" s="1332"/>
      <c r="F271" s="1332"/>
      <c r="G271" s="1332"/>
      <c r="H271" s="1332"/>
      <c r="I271" s="1332"/>
      <c r="J271" s="1387"/>
      <c r="K271" s="49" t="s">
        <v>857</v>
      </c>
      <c r="L271" s="923">
        <v>0.10659823</v>
      </c>
      <c r="M271" s="862" t="s">
        <v>195</v>
      </c>
      <c r="N271" s="29" t="s">
        <v>162</v>
      </c>
      <c r="O271" s="1332"/>
      <c r="P271" s="1332"/>
      <c r="Q271" s="1332"/>
      <c r="R271" s="1332"/>
      <c r="S271" s="1332"/>
      <c r="T271" s="1332"/>
      <c r="U271" s="1332"/>
      <c r="V271" s="1332"/>
      <c r="W271" s="1332"/>
      <c r="X271" s="1332"/>
      <c r="Y271" s="1332"/>
      <c r="Z271" s="1332"/>
      <c r="AA271" s="1332"/>
    </row>
    <row r="272" spans="2:27" ht="12" customHeight="1">
      <c r="B272" s="1332"/>
      <c r="C272" s="1332"/>
      <c r="D272" s="1332"/>
      <c r="E272" s="1332"/>
      <c r="F272" s="1332"/>
      <c r="G272" s="1332"/>
      <c r="H272" s="1332"/>
      <c r="I272" s="1332"/>
      <c r="J272" s="1388"/>
      <c r="K272" s="49" t="s">
        <v>4182</v>
      </c>
      <c r="L272" s="923">
        <v>0.12915646</v>
      </c>
      <c r="M272" s="29" t="s">
        <v>195</v>
      </c>
      <c r="N272" s="29" t="s">
        <v>162</v>
      </c>
      <c r="O272" s="1332"/>
      <c r="P272" s="1332"/>
      <c r="Q272" s="1332"/>
      <c r="R272" s="1332"/>
      <c r="S272" s="1332"/>
      <c r="T272" s="1332"/>
      <c r="U272" s="1332"/>
      <c r="V272" s="1332"/>
      <c r="W272" s="1332"/>
      <c r="X272" s="1332"/>
      <c r="Y272" s="1332"/>
      <c r="Z272" s="1332"/>
      <c r="AA272" s="1332"/>
    </row>
  </sheetData>
  <mergeCells count="21">
    <mergeCell ref="J249:J253"/>
    <mergeCell ref="J254:J260"/>
    <mergeCell ref="J261:J266"/>
    <mergeCell ref="J267:J272"/>
    <mergeCell ref="B7:B25"/>
    <mergeCell ref="B26:B61"/>
    <mergeCell ref="B62:B68"/>
    <mergeCell ref="B69:B74"/>
    <mergeCell ref="J168:J203"/>
    <mergeCell ref="J204:J218"/>
    <mergeCell ref="J219:J227"/>
    <mergeCell ref="J14:J19"/>
    <mergeCell ref="J20:J120"/>
    <mergeCell ref="J228:J229"/>
    <mergeCell ref="J231:J232"/>
    <mergeCell ref="J233:J248"/>
    <mergeCell ref="C4:H4"/>
    <mergeCell ref="K4:N4"/>
    <mergeCell ref="P4:S4"/>
    <mergeCell ref="W4:Y4"/>
    <mergeCell ref="J7:J13"/>
  </mergeCells>
  <hyperlinks>
    <hyperlink ref="R3" r:id="rId1" xr:uid="{00000000-0004-0000-1600-000000000000}"/>
    <hyperlink ref="N231" r:id="rId2" xr:uid="{00000000-0004-0000-1600-000001000000}"/>
    <hyperlink ref="N254" r:id="rId3" xr:uid="{00000000-0004-0000-1600-000002000000}"/>
    <hyperlink ref="N263" r:id="rId4" xr:uid="{00000000-0004-0000-1600-000003000000}"/>
    <hyperlink ref="N264" r:id="rId5" xr:uid="{00000000-0004-0000-1600-000004000000}"/>
  </hyperlinks>
  <pageMargins left="0.7" right="0.7" top="0.75" bottom="0.75" header="0" footer="0"/>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4:AJ268"/>
  <sheetViews>
    <sheetView workbookViewId="0">
      <selection activeCell="B11" sqref="B11"/>
    </sheetView>
  </sheetViews>
  <sheetFormatPr baseColWidth="10" defaultColWidth="48" defaultRowHeight="13.2"/>
  <cols>
    <col min="1" max="16384" width="48" style="1384"/>
  </cols>
  <sheetData>
    <row r="4" spans="1:11">
      <c r="A4" s="419" t="s">
        <v>4017</v>
      </c>
      <c r="B4" s="419" t="s">
        <v>4018</v>
      </c>
    </row>
    <row r="5" spans="1:11">
      <c r="A5" s="419" t="s">
        <v>4020</v>
      </c>
      <c r="B5" s="419" t="s">
        <v>4021</v>
      </c>
    </row>
    <row r="6" spans="1:11">
      <c r="A6" s="419" t="s">
        <v>4023</v>
      </c>
      <c r="B6" s="419" t="s">
        <v>4183</v>
      </c>
    </row>
    <row r="7" spans="1:11">
      <c r="A7" s="419" t="s">
        <v>4026</v>
      </c>
      <c r="B7" s="419" t="s">
        <v>4184</v>
      </c>
    </row>
    <row r="8" spans="1:11">
      <c r="A8" s="419" t="s">
        <v>4029</v>
      </c>
      <c r="B8" s="419" t="s">
        <v>4030</v>
      </c>
    </row>
    <row r="9" spans="1:11">
      <c r="A9" s="419" t="s">
        <v>4032</v>
      </c>
      <c r="B9" s="419" t="s">
        <v>4033</v>
      </c>
    </row>
    <row r="10" spans="1:11">
      <c r="A10" s="419" t="s">
        <v>4035</v>
      </c>
      <c r="B10" s="419" t="s">
        <v>127</v>
      </c>
    </row>
    <row r="11" spans="1:11">
      <c r="A11" s="419" t="s">
        <v>4037</v>
      </c>
      <c r="B11" s="419" t="s">
        <v>127</v>
      </c>
    </row>
    <row r="12" spans="1:11">
      <c r="A12" s="419" t="s">
        <v>4039</v>
      </c>
      <c r="B12" s="419" t="s">
        <v>4040</v>
      </c>
    </row>
    <row r="13" spans="1:11">
      <c r="A13" s="419" t="s">
        <v>4042</v>
      </c>
      <c r="B13" s="419" t="s">
        <v>4043</v>
      </c>
    </row>
    <row r="15" spans="1:11">
      <c r="A15" s="419" t="s">
        <v>4040</v>
      </c>
      <c r="B15" s="419" t="s">
        <v>4049</v>
      </c>
      <c r="C15" s="419" t="s">
        <v>87</v>
      </c>
      <c r="D15" s="419" t="s">
        <v>4185</v>
      </c>
      <c r="E15" s="419" t="s">
        <v>4186</v>
      </c>
      <c r="F15" s="419" t="s">
        <v>4187</v>
      </c>
      <c r="G15" s="419" t="s">
        <v>4188</v>
      </c>
      <c r="H15" s="419" t="s">
        <v>4189</v>
      </c>
      <c r="I15" s="419" t="s">
        <v>4190</v>
      </c>
      <c r="J15" s="419" t="s">
        <v>4191</v>
      </c>
      <c r="K15" s="419" t="s">
        <v>4192</v>
      </c>
    </row>
    <row r="16" spans="1:11">
      <c r="A16" s="419" t="s">
        <v>4193</v>
      </c>
      <c r="B16" s="419" t="s">
        <v>4058</v>
      </c>
      <c r="C16" s="419">
        <v>1.9936277</v>
      </c>
      <c r="D16" s="419">
        <v>0</v>
      </c>
      <c r="E16" s="419">
        <v>2.1329126</v>
      </c>
      <c r="F16" s="419">
        <v>1.0251123</v>
      </c>
      <c r="G16" s="419">
        <v>1.4829512E-2</v>
      </c>
      <c r="H16" s="419">
        <v>1.4474969000000001E-2</v>
      </c>
      <c r="I16" s="419">
        <v>-1.5616331999999999</v>
      </c>
      <c r="J16" s="419">
        <v>-0.39220345000000001</v>
      </c>
      <c r="K16" s="419">
        <v>0.76013498000000002</v>
      </c>
    </row>
    <row r="17" spans="1:11">
      <c r="A17" s="419" t="s">
        <v>4194</v>
      </c>
      <c r="B17" s="419" t="s">
        <v>4195</v>
      </c>
      <c r="C17" s="1385">
        <v>-2.4040538000000002E-8</v>
      </c>
      <c r="D17" s="419">
        <v>0</v>
      </c>
      <c r="E17" s="1385">
        <v>-1.0241798E-8</v>
      </c>
      <c r="F17" s="1385">
        <v>-2.3011412000000002E-9</v>
      </c>
      <c r="G17" s="1385">
        <v>1.6534389E-7</v>
      </c>
      <c r="H17" s="1385">
        <v>1.6549718000000001E-7</v>
      </c>
      <c r="I17" s="1385">
        <v>-1.144555E-7</v>
      </c>
      <c r="J17" s="1385">
        <v>-2.8040856000000002E-7</v>
      </c>
      <c r="K17" s="1385">
        <v>5.2525394000000002E-8</v>
      </c>
    </row>
    <row r="18" spans="1:11">
      <c r="A18" s="419" t="s">
        <v>4196</v>
      </c>
      <c r="B18" s="419" t="s">
        <v>4197</v>
      </c>
      <c r="C18" s="419">
        <v>-3.6400939000000001</v>
      </c>
      <c r="D18" s="419">
        <v>0</v>
      </c>
      <c r="E18" s="1385">
        <v>-5.6710474000000004E-6</v>
      </c>
      <c r="F18" s="1385">
        <v>4.0040728999999999E-7</v>
      </c>
      <c r="G18" s="419">
        <v>1.6643517000000001E-4</v>
      </c>
      <c r="H18" s="419">
        <v>1.5750224E-4</v>
      </c>
      <c r="I18" s="419">
        <v>-6.8321058000000004E-2</v>
      </c>
      <c r="J18" s="419">
        <v>-3.5733009999999998</v>
      </c>
      <c r="K18" s="419">
        <v>1.2094122000000001E-3</v>
      </c>
    </row>
    <row r="19" spans="1:11">
      <c r="A19" s="419" t="s">
        <v>4198</v>
      </c>
      <c r="B19" s="419" t="s">
        <v>4199</v>
      </c>
      <c r="C19" s="419">
        <v>7.8172980999999999E-3</v>
      </c>
      <c r="D19" s="419">
        <v>0</v>
      </c>
      <c r="E19" s="419">
        <v>8.3268109000000003E-3</v>
      </c>
      <c r="F19" s="419">
        <v>4.0008732999999999E-3</v>
      </c>
      <c r="G19" s="419">
        <v>1.9244396999999999E-4</v>
      </c>
      <c r="H19" s="419">
        <v>1.916384E-4</v>
      </c>
      <c r="I19" s="419">
        <v>-2.7505322E-3</v>
      </c>
      <c r="J19" s="419">
        <v>-2.2555040999999998E-3</v>
      </c>
      <c r="K19" s="419">
        <v>1.1156786E-4</v>
      </c>
    </row>
    <row r="20" spans="1:11">
      <c r="A20" s="419" t="s">
        <v>4200</v>
      </c>
      <c r="B20" s="419" t="s">
        <v>4201</v>
      </c>
      <c r="C20" s="419">
        <v>-1.8213995E-3</v>
      </c>
      <c r="D20" s="419">
        <v>0</v>
      </c>
      <c r="E20" s="1385">
        <v>3.7020658000000001E-5</v>
      </c>
      <c r="F20" s="1385">
        <v>2.4587946000000001E-5</v>
      </c>
      <c r="G20" s="1385">
        <v>3.4073581E-5</v>
      </c>
      <c r="H20" s="1385">
        <v>3.3491243E-5</v>
      </c>
      <c r="I20" s="419">
        <v>-7.6520642999999995E-4</v>
      </c>
      <c r="J20" s="419">
        <v>-1.2391673999999999E-3</v>
      </c>
      <c r="K20" s="1385">
        <v>5.3800941000000001E-5</v>
      </c>
    </row>
    <row r="21" spans="1:11">
      <c r="A21" s="419" t="s">
        <v>4202</v>
      </c>
      <c r="B21" s="419" t="s">
        <v>4199</v>
      </c>
      <c r="C21" s="419">
        <v>1.3229243999999999E-2</v>
      </c>
      <c r="D21" s="419">
        <v>0</v>
      </c>
      <c r="E21" s="419">
        <v>1.224684E-2</v>
      </c>
      <c r="F21" s="419">
        <v>5.8746757E-3</v>
      </c>
      <c r="G21" s="419">
        <v>1.9324523000000001E-4</v>
      </c>
      <c r="H21" s="419">
        <v>1.9242670000000001E-4</v>
      </c>
      <c r="I21" s="419">
        <v>-3.0969368000000001E-3</v>
      </c>
      <c r="J21" s="419">
        <v>-2.2943575000000001E-3</v>
      </c>
      <c r="K21" s="419">
        <v>1.1335060000000001E-4</v>
      </c>
    </row>
    <row r="22" spans="1:11">
      <c r="A22" s="419" t="s">
        <v>4203</v>
      </c>
      <c r="B22" s="419" t="s">
        <v>4204</v>
      </c>
      <c r="C22" s="419">
        <v>-5.7978285999999999E-3</v>
      </c>
      <c r="D22" s="419">
        <v>0</v>
      </c>
      <c r="E22" s="1385">
        <v>8.7996272999999996E-5</v>
      </c>
      <c r="F22" s="1385">
        <v>6.2535548999999999E-5</v>
      </c>
      <c r="G22" s="1385">
        <v>8.6607039999999995E-5</v>
      </c>
      <c r="H22" s="1385">
        <v>8.5041618999999994E-5</v>
      </c>
      <c r="I22" s="419">
        <v>-3.3882120999999999E-3</v>
      </c>
      <c r="J22" s="419">
        <v>-2.8460771999999999E-3</v>
      </c>
      <c r="K22" s="419">
        <v>1.142802E-4</v>
      </c>
    </row>
    <row r="23" spans="1:11">
      <c r="A23" s="419" t="s">
        <v>4205</v>
      </c>
      <c r="B23" s="419" t="s">
        <v>4206</v>
      </c>
      <c r="C23" s="419">
        <v>-4.2988092000000001E-4</v>
      </c>
      <c r="D23" s="419">
        <v>0</v>
      </c>
      <c r="E23" s="1385">
        <v>-2.7684268000000002E-7</v>
      </c>
      <c r="F23" s="1385">
        <v>-8.9285196999999996E-10</v>
      </c>
      <c r="G23" s="1385">
        <v>6.6456961000000004E-6</v>
      </c>
      <c r="H23" s="1385">
        <v>6.5452969E-6</v>
      </c>
      <c r="I23" s="419">
        <v>-1.0890678E-4</v>
      </c>
      <c r="J23" s="419">
        <v>-3.5030171E-4</v>
      </c>
      <c r="K23" s="1385">
        <v>1.6414317999999999E-5</v>
      </c>
    </row>
    <row r="24" spans="1:11">
      <c r="A24" s="419" t="s">
        <v>4207</v>
      </c>
      <c r="B24" s="419" t="s">
        <v>4208</v>
      </c>
      <c r="C24" s="419">
        <v>7.3079486000000003E-4</v>
      </c>
      <c r="D24" s="419">
        <v>0</v>
      </c>
      <c r="E24" s="1385">
        <v>-9.7529117999999999E-7</v>
      </c>
      <c r="F24" s="1385">
        <v>-4.3719512999999999E-7</v>
      </c>
      <c r="G24" s="1385">
        <v>3.4323248999999998E-6</v>
      </c>
      <c r="H24" s="1385">
        <v>3.431319E-6</v>
      </c>
      <c r="I24" s="1385">
        <v>-1.3417704E-5</v>
      </c>
      <c r="J24" s="1385">
        <v>-8.3894524E-5</v>
      </c>
      <c r="K24" s="419">
        <v>8.2265593000000001E-4</v>
      </c>
    </row>
    <row r="25" spans="1:11">
      <c r="A25" s="419" t="s">
        <v>4209</v>
      </c>
      <c r="B25" s="419" t="s">
        <v>4210</v>
      </c>
      <c r="C25" s="419">
        <v>-17.800021000000001</v>
      </c>
      <c r="D25" s="419">
        <v>0</v>
      </c>
      <c r="E25" s="419">
        <v>4.8329265999999997E-3</v>
      </c>
      <c r="F25" s="419">
        <v>7.1915026999999996E-3</v>
      </c>
      <c r="G25" s="419">
        <v>0.11817651</v>
      </c>
      <c r="H25" s="419">
        <v>4.1702575999999998E-2</v>
      </c>
      <c r="I25" s="419">
        <v>-2.7740211000000001</v>
      </c>
      <c r="J25" s="419">
        <v>-15.248886000000001</v>
      </c>
      <c r="K25" s="419">
        <v>5.0982162999999997E-2</v>
      </c>
    </row>
    <row r="26" spans="1:11">
      <c r="A26" s="419" t="s">
        <v>4211</v>
      </c>
      <c r="B26" s="419" t="s">
        <v>4210</v>
      </c>
      <c r="C26" s="419">
        <v>0.15177857</v>
      </c>
      <c r="D26" s="419">
        <v>0</v>
      </c>
      <c r="E26" s="419">
        <v>-1.184531E-3</v>
      </c>
      <c r="F26" s="419">
        <v>-5.1801867999999997E-4</v>
      </c>
      <c r="G26" s="419">
        <v>6.2882966999999998E-2</v>
      </c>
      <c r="H26" s="419">
        <v>2.1225123000000001E-3</v>
      </c>
      <c r="I26" s="419">
        <v>-5.2073835999999998E-2</v>
      </c>
      <c r="J26" s="419">
        <v>-0.29190861000000001</v>
      </c>
      <c r="K26" s="419">
        <v>0.43245809000000002</v>
      </c>
    </row>
    <row r="27" spans="1:11">
      <c r="A27" s="419" t="s">
        <v>4212</v>
      </c>
      <c r="B27" s="419" t="s">
        <v>4210</v>
      </c>
      <c r="C27" s="419">
        <v>0.17638567999999999</v>
      </c>
      <c r="D27" s="419">
        <v>0</v>
      </c>
      <c r="E27" s="419">
        <v>-1.6106864E-3</v>
      </c>
      <c r="F27" s="419">
        <v>-6.9532849000000004E-4</v>
      </c>
      <c r="G27" s="419">
        <v>7.8506038E-2</v>
      </c>
      <c r="H27" s="419">
        <v>2.8414282000000001E-3</v>
      </c>
      <c r="I27" s="419">
        <v>-6.6851806E-2</v>
      </c>
      <c r="J27" s="419">
        <v>-0.40300638999999999</v>
      </c>
      <c r="K27" s="419">
        <v>0.56720241999999998</v>
      </c>
    </row>
    <row r="28" spans="1:11">
      <c r="A28" s="419" t="s">
        <v>4213</v>
      </c>
      <c r="B28" s="419" t="s">
        <v>4210</v>
      </c>
      <c r="C28" s="419">
        <v>0.74420090000000005</v>
      </c>
      <c r="D28" s="419">
        <v>0</v>
      </c>
      <c r="E28" s="419">
        <v>-2.5587076E-4</v>
      </c>
      <c r="F28" s="1385">
        <v>4.3238884E-5</v>
      </c>
      <c r="G28" s="419">
        <v>0.90343673999999996</v>
      </c>
      <c r="H28" s="419">
        <v>1.8114444000000001E-3</v>
      </c>
      <c r="I28" s="419">
        <v>-4.8121593999999997E-2</v>
      </c>
      <c r="J28" s="419">
        <v>-0.12847695000000001</v>
      </c>
      <c r="K28" s="419">
        <v>1.5763890999999999E-2</v>
      </c>
    </row>
    <row r="29" spans="1:11">
      <c r="A29" s="419" t="s">
        <v>4214</v>
      </c>
      <c r="B29" s="419" t="s">
        <v>4210</v>
      </c>
      <c r="C29" s="419">
        <v>-1.9955106</v>
      </c>
      <c r="D29" s="419">
        <v>0</v>
      </c>
      <c r="E29" s="419">
        <v>-9.6536237999999996E-2</v>
      </c>
      <c r="F29" s="419">
        <v>-4.3680389E-2</v>
      </c>
      <c r="G29" s="419">
        <v>0.10280884</v>
      </c>
      <c r="H29" s="419">
        <v>9.4627121999999994E-2</v>
      </c>
      <c r="I29" s="419">
        <v>-0.70068794000000001</v>
      </c>
      <c r="J29" s="419">
        <v>-10.647173</v>
      </c>
      <c r="K29" s="419">
        <v>9.2951312999999995</v>
      </c>
    </row>
    <row r="30" spans="1:11">
      <c r="A30" s="419" t="s">
        <v>4215</v>
      </c>
      <c r="B30" s="419" t="s">
        <v>4216</v>
      </c>
      <c r="C30" s="419">
        <v>-0.70102726000000004</v>
      </c>
      <c r="D30" s="419">
        <v>0</v>
      </c>
      <c r="E30" s="419">
        <v>6.3680640999999995E-4</v>
      </c>
      <c r="F30" s="419">
        <v>1.1230833000000001E-3</v>
      </c>
      <c r="G30" s="419">
        <v>9.8170625999999999E-4</v>
      </c>
      <c r="H30" s="419">
        <v>9.2159752999999996E-4</v>
      </c>
      <c r="I30" s="419">
        <v>-6.2492038E-2</v>
      </c>
      <c r="J30" s="419">
        <v>-0.64680382999999997</v>
      </c>
      <c r="K30" s="419">
        <v>4.6054217E-3</v>
      </c>
    </row>
    <row r="31" spans="1:11">
      <c r="A31" s="419" t="s">
        <v>4217</v>
      </c>
      <c r="B31" s="419" t="s">
        <v>4218</v>
      </c>
      <c r="C31" s="419">
        <v>-0.55025219999999997</v>
      </c>
      <c r="D31" s="419">
        <v>0</v>
      </c>
      <c r="E31" s="1385">
        <v>9.0016920999999996E-8</v>
      </c>
      <c r="F31" s="1385">
        <v>1.9297432E-5</v>
      </c>
      <c r="G31" s="419">
        <v>1.4971383000000001E-4</v>
      </c>
      <c r="H31" s="419">
        <v>1.4653314E-4</v>
      </c>
      <c r="I31" s="419">
        <v>-3.6420711999999998E-3</v>
      </c>
      <c r="J31" s="419">
        <v>-0.54697830999999997</v>
      </c>
      <c r="K31" s="1385">
        <v>5.2543870999999997E-5</v>
      </c>
    </row>
    <row r="32" spans="1:11">
      <c r="A32" s="419" t="s">
        <v>4219</v>
      </c>
      <c r="B32" s="419" t="s">
        <v>4220</v>
      </c>
      <c r="C32" s="419">
        <v>-1.5796705</v>
      </c>
      <c r="D32" s="419">
        <v>0</v>
      </c>
      <c r="E32" s="419">
        <v>-1.0846835000000001E-2</v>
      </c>
      <c r="F32" s="419">
        <v>-2.0507451000000001E-3</v>
      </c>
      <c r="G32" s="419">
        <v>2.9205029E-3</v>
      </c>
      <c r="H32" s="419">
        <v>2.8594744E-3</v>
      </c>
      <c r="I32" s="419">
        <v>-1.4703872</v>
      </c>
      <c r="J32" s="419">
        <v>-0.10960304</v>
      </c>
      <c r="K32" s="419">
        <v>7.4374343999999998E-3</v>
      </c>
    </row>
    <row r="33" spans="1:11">
      <c r="A33" s="419" t="s">
        <v>4221</v>
      </c>
      <c r="B33" s="419" t="s">
        <v>449</v>
      </c>
      <c r="C33" s="419">
        <v>-0.34951470000000001</v>
      </c>
      <c r="D33" s="419">
        <v>0</v>
      </c>
      <c r="E33" s="419">
        <v>-0.11304865</v>
      </c>
      <c r="F33" s="419">
        <v>-5.2332468E-2</v>
      </c>
      <c r="G33" s="419">
        <v>-2.0411796000000001E-4</v>
      </c>
      <c r="H33" s="419">
        <v>-2.1013862999999999E-4</v>
      </c>
      <c r="I33" s="419">
        <v>-2.1554283E-2</v>
      </c>
      <c r="J33" s="419">
        <v>-0.16248324</v>
      </c>
      <c r="K33" s="419">
        <v>3.1819599000000001E-4</v>
      </c>
    </row>
    <row r="39" spans="1:11">
      <c r="A39" s="419" t="s">
        <v>4017</v>
      </c>
      <c r="B39" s="419" t="s">
        <v>4018</v>
      </c>
    </row>
    <row r="40" spans="1:11">
      <c r="A40" s="419" t="s">
        <v>4020</v>
      </c>
      <c r="B40" s="419" t="s">
        <v>4021</v>
      </c>
    </row>
    <row r="41" spans="1:11">
      <c r="A41" s="419" t="s">
        <v>4023</v>
      </c>
      <c r="B41" s="419" t="s">
        <v>4222</v>
      </c>
    </row>
    <row r="42" spans="1:11">
      <c r="A42" s="419" t="s">
        <v>4026</v>
      </c>
      <c r="B42" s="419" t="s">
        <v>4223</v>
      </c>
    </row>
    <row r="43" spans="1:11">
      <c r="A43" s="419" t="s">
        <v>4029</v>
      </c>
      <c r="B43" s="419" t="s">
        <v>4030</v>
      </c>
    </row>
    <row r="44" spans="1:11">
      <c r="A44" s="419" t="s">
        <v>4032</v>
      </c>
      <c r="B44" s="419" t="s">
        <v>4033</v>
      </c>
    </row>
    <row r="45" spans="1:11">
      <c r="A45" s="419" t="s">
        <v>4035</v>
      </c>
      <c r="B45" s="419" t="s">
        <v>127</v>
      </c>
    </row>
    <row r="46" spans="1:11">
      <c r="A46" s="419" t="s">
        <v>4037</v>
      </c>
      <c r="B46" s="419" t="s">
        <v>127</v>
      </c>
    </row>
    <row r="47" spans="1:11">
      <c r="A47" s="419" t="s">
        <v>4039</v>
      </c>
      <c r="B47" s="419" t="s">
        <v>4040</v>
      </c>
    </row>
    <row r="48" spans="1:11">
      <c r="A48" s="419" t="s">
        <v>4042</v>
      </c>
      <c r="B48" s="419" t="s">
        <v>4043</v>
      </c>
    </row>
    <row r="50" spans="1:28">
      <c r="A50" s="419" t="s">
        <v>4040</v>
      </c>
      <c r="B50" s="419" t="s">
        <v>4049</v>
      </c>
      <c r="C50" s="419" t="s">
        <v>87</v>
      </c>
      <c r="D50" s="419" t="s">
        <v>4224</v>
      </c>
      <c r="E50" s="419" t="s">
        <v>4225</v>
      </c>
      <c r="F50" s="419" t="s">
        <v>4226</v>
      </c>
      <c r="G50" s="419" t="s">
        <v>4227</v>
      </c>
      <c r="H50" s="419" t="s">
        <v>4228</v>
      </c>
      <c r="I50" s="419" t="s">
        <v>4229</v>
      </c>
      <c r="J50" s="419" t="s">
        <v>4230</v>
      </c>
      <c r="K50" s="419" t="s">
        <v>4231</v>
      </c>
      <c r="L50" s="419" t="s">
        <v>4232</v>
      </c>
      <c r="M50" s="419" t="s">
        <v>4233</v>
      </c>
      <c r="N50" s="419" t="s">
        <v>4234</v>
      </c>
      <c r="O50" s="419" t="s">
        <v>4235</v>
      </c>
      <c r="P50" s="419" t="s">
        <v>4236</v>
      </c>
      <c r="Q50" s="419" t="s">
        <v>4237</v>
      </c>
      <c r="R50" s="419" t="s">
        <v>4238</v>
      </c>
      <c r="S50" s="419" t="s">
        <v>4239</v>
      </c>
      <c r="T50" s="419" t="s">
        <v>4240</v>
      </c>
      <c r="U50" s="419" t="s">
        <v>4241</v>
      </c>
      <c r="V50" s="419" t="s">
        <v>4242</v>
      </c>
      <c r="W50" s="419" t="s">
        <v>4243</v>
      </c>
      <c r="X50" s="419" t="s">
        <v>4244</v>
      </c>
      <c r="Y50" s="419" t="s">
        <v>4245</v>
      </c>
      <c r="Z50" s="419" t="s">
        <v>4246</v>
      </c>
      <c r="AA50" s="419" t="s">
        <v>4247</v>
      </c>
      <c r="AB50" s="419" t="s">
        <v>4248</v>
      </c>
    </row>
    <row r="51" spans="1:28">
      <c r="A51" s="419" t="s">
        <v>4193</v>
      </c>
      <c r="B51" s="419" t="s">
        <v>4058</v>
      </c>
      <c r="C51" s="419">
        <v>9.8633903000000007</v>
      </c>
      <c r="D51" s="419">
        <v>0</v>
      </c>
      <c r="E51" s="419">
        <v>0.32957987</v>
      </c>
      <c r="F51" s="419">
        <v>0.23610624999999999</v>
      </c>
      <c r="G51" s="419">
        <v>0.43461512000000002</v>
      </c>
      <c r="H51" s="419">
        <v>0.38812162</v>
      </c>
      <c r="I51" s="419">
        <v>0.47671433000000002</v>
      </c>
      <c r="J51" s="419">
        <v>0.43240796999999997</v>
      </c>
      <c r="K51" s="419">
        <v>0.69347579999999998</v>
      </c>
      <c r="L51" s="419">
        <v>0.49813173999999999</v>
      </c>
      <c r="M51" s="419">
        <v>0.13468558</v>
      </c>
      <c r="N51" s="419">
        <v>0.32149306999999999</v>
      </c>
      <c r="O51" s="419">
        <v>1.1563228000000001</v>
      </c>
      <c r="P51" s="419">
        <v>1.3204619</v>
      </c>
      <c r="Q51" s="419">
        <v>0.54710369999999997</v>
      </c>
      <c r="R51" s="419">
        <v>0.33101680999999999</v>
      </c>
      <c r="S51" s="419">
        <v>0.12407724000000001</v>
      </c>
      <c r="T51" s="419">
        <v>0.18015993</v>
      </c>
      <c r="U51" s="419">
        <v>0.10019122</v>
      </c>
      <c r="V51" s="419">
        <v>0.34921655000000001</v>
      </c>
      <c r="W51" s="419">
        <v>0.21332419999999999</v>
      </c>
      <c r="X51" s="419">
        <v>0.23149718999999999</v>
      </c>
      <c r="Y51" s="419">
        <v>0.35330566000000002</v>
      </c>
      <c r="Z51" s="419">
        <v>0.24271677999999999</v>
      </c>
      <c r="AA51" s="419">
        <v>0.39383898000000001</v>
      </c>
      <c r="AB51" s="419">
        <v>0.37482599999999999</v>
      </c>
    </row>
    <row r="52" spans="1:28">
      <c r="A52" s="419" t="s">
        <v>4194</v>
      </c>
      <c r="B52" s="419" t="s">
        <v>4195</v>
      </c>
      <c r="C52" s="1385">
        <v>6.9135692000000003E-6</v>
      </c>
      <c r="D52" s="419">
        <v>0</v>
      </c>
      <c r="E52" s="1385">
        <v>2.7067354E-7</v>
      </c>
      <c r="F52" s="1385">
        <v>1.3296779999999999E-7</v>
      </c>
      <c r="G52" s="1385">
        <v>1.2820765000000001E-7</v>
      </c>
      <c r="H52" s="1385">
        <v>1.4844562E-7</v>
      </c>
      <c r="I52" s="1385">
        <v>1.5021706999999999E-7</v>
      </c>
      <c r="J52" s="1385">
        <v>1.8943138E-7</v>
      </c>
      <c r="K52" s="1385">
        <v>2.1747232E-7</v>
      </c>
      <c r="L52" s="1385">
        <v>2.1089191E-7</v>
      </c>
      <c r="M52" s="1385">
        <v>3.3096288999999997E-8</v>
      </c>
      <c r="N52" s="1385">
        <v>1.3445746E-7</v>
      </c>
      <c r="O52" s="1385">
        <v>3.4240447000000001E-7</v>
      </c>
      <c r="P52" s="1385">
        <v>8.3322396000000001E-7</v>
      </c>
      <c r="Q52" s="1385">
        <v>2.6809779999999999E-7</v>
      </c>
      <c r="R52" s="1385">
        <v>1.8005705E-7</v>
      </c>
      <c r="S52" s="1385">
        <v>1.4496690000000001E-7</v>
      </c>
      <c r="T52" s="1385">
        <v>2.2872622999999999E-7</v>
      </c>
      <c r="U52" s="1385">
        <v>7.4602177000000002E-8</v>
      </c>
      <c r="V52" s="1385">
        <v>1.4274919999999999E-7</v>
      </c>
      <c r="W52" s="1385">
        <v>2.2816676999999999E-7</v>
      </c>
      <c r="X52" s="1385">
        <v>1.4919927999999999E-7</v>
      </c>
      <c r="Y52" s="1385">
        <v>1.7075296999999999E-6</v>
      </c>
      <c r="Z52" s="1385">
        <v>2.2910278000000001E-7</v>
      </c>
      <c r="AA52" s="1385">
        <v>3.6711633999999998E-7</v>
      </c>
      <c r="AB52" s="1385">
        <v>4.0176554E-7</v>
      </c>
    </row>
    <row r="53" spans="1:28">
      <c r="A53" s="419" t="s">
        <v>4196</v>
      </c>
      <c r="B53" s="419" t="s">
        <v>4197</v>
      </c>
      <c r="C53" s="419">
        <v>0</v>
      </c>
      <c r="D53" s="419">
        <v>0</v>
      </c>
      <c r="E53" s="419">
        <v>0</v>
      </c>
      <c r="F53" s="419">
        <v>0</v>
      </c>
      <c r="G53" s="419">
        <v>0</v>
      </c>
      <c r="H53" s="419">
        <v>0</v>
      </c>
      <c r="I53" s="419">
        <v>0</v>
      </c>
      <c r="J53" s="419">
        <v>0</v>
      </c>
      <c r="K53" s="419">
        <v>0</v>
      </c>
      <c r="L53" s="419">
        <v>0</v>
      </c>
      <c r="M53" s="419">
        <v>0</v>
      </c>
      <c r="N53" s="419">
        <v>0</v>
      </c>
      <c r="O53" s="419">
        <v>0</v>
      </c>
      <c r="P53" s="419">
        <v>0</v>
      </c>
      <c r="Q53" s="419">
        <v>0</v>
      </c>
      <c r="R53" s="419">
        <v>0</v>
      </c>
      <c r="S53" s="419">
        <v>0</v>
      </c>
      <c r="T53" s="419">
        <v>0</v>
      </c>
      <c r="U53" s="419">
        <v>0</v>
      </c>
      <c r="V53" s="419">
        <v>0</v>
      </c>
      <c r="W53" s="419">
        <v>0</v>
      </c>
      <c r="X53" s="419">
        <v>0</v>
      </c>
      <c r="Y53" s="419">
        <v>0</v>
      </c>
      <c r="Z53" s="419">
        <v>0</v>
      </c>
      <c r="AA53" s="419">
        <v>0</v>
      </c>
      <c r="AB53" s="419">
        <v>0</v>
      </c>
    </row>
    <row r="54" spans="1:28">
      <c r="A54" s="419" t="s">
        <v>4198</v>
      </c>
      <c r="B54" s="419" t="s">
        <v>4199</v>
      </c>
      <c r="C54" s="419">
        <v>3.6561753000000002E-2</v>
      </c>
      <c r="D54" s="419">
        <v>0</v>
      </c>
      <c r="E54" s="419">
        <v>1.3630871000000001E-3</v>
      </c>
      <c r="F54" s="419">
        <v>8.3633397E-4</v>
      </c>
      <c r="G54" s="419">
        <v>1.1218679E-3</v>
      </c>
      <c r="H54" s="419">
        <v>1.2157303E-3</v>
      </c>
      <c r="I54" s="419">
        <v>1.2351453000000001E-3</v>
      </c>
      <c r="J54" s="419">
        <v>1.1839457000000001E-3</v>
      </c>
      <c r="K54" s="419">
        <v>1.8328759E-3</v>
      </c>
      <c r="L54" s="419">
        <v>1.8381005E-3</v>
      </c>
      <c r="M54" s="419">
        <v>4.6271787999999998E-4</v>
      </c>
      <c r="N54" s="419">
        <v>1.3260173E-3</v>
      </c>
      <c r="O54" s="419">
        <v>7.0850262000000004E-3</v>
      </c>
      <c r="P54" s="419">
        <v>3.7357312E-3</v>
      </c>
      <c r="Q54" s="419">
        <v>2.5924599E-3</v>
      </c>
      <c r="R54" s="419">
        <v>1.4624125999999999E-3</v>
      </c>
      <c r="S54" s="419">
        <v>4.1292466000000002E-4</v>
      </c>
      <c r="T54" s="419">
        <v>6.5671936999999998E-4</v>
      </c>
      <c r="U54" s="419">
        <v>3.4989203999999998E-4</v>
      </c>
      <c r="V54" s="419">
        <v>1.3735735000000001E-3</v>
      </c>
      <c r="W54" s="419">
        <v>7.3879570999999997E-4</v>
      </c>
      <c r="X54" s="419">
        <v>6.8652171999999999E-4</v>
      </c>
      <c r="Y54" s="419">
        <v>1.3852652E-3</v>
      </c>
      <c r="Z54" s="419">
        <v>8.8511706000000002E-4</v>
      </c>
      <c r="AA54" s="419">
        <v>1.3906768E-3</v>
      </c>
      <c r="AB54" s="419">
        <v>1.3908148E-3</v>
      </c>
    </row>
    <row r="55" spans="1:28">
      <c r="A55" s="419" t="s">
        <v>4200</v>
      </c>
      <c r="B55" s="419" t="s">
        <v>4201</v>
      </c>
      <c r="C55" s="419">
        <v>1.3595319E-2</v>
      </c>
      <c r="D55" s="419">
        <v>0</v>
      </c>
      <c r="E55" s="419">
        <v>4.1798303000000001E-4</v>
      </c>
      <c r="F55" s="419">
        <v>3.3285215000000001E-4</v>
      </c>
      <c r="G55" s="419">
        <v>8.1473139000000003E-4</v>
      </c>
      <c r="H55" s="419">
        <v>5.6567208999999999E-4</v>
      </c>
      <c r="I55" s="419">
        <v>1.0647459000000001E-3</v>
      </c>
      <c r="J55" s="419">
        <v>7.9690239000000001E-4</v>
      </c>
      <c r="K55" s="419">
        <v>1.3227929E-3</v>
      </c>
      <c r="L55" s="419">
        <v>5.5165795999999995E-4</v>
      </c>
      <c r="M55" s="419">
        <v>1.4957767999999999E-4</v>
      </c>
      <c r="N55" s="419">
        <v>5.3116766E-4</v>
      </c>
      <c r="O55" s="419">
        <v>1.3636308000000001E-3</v>
      </c>
      <c r="P55" s="419">
        <v>1.0379415999999999E-3</v>
      </c>
      <c r="Q55" s="419">
        <v>6.5756001000000003E-4</v>
      </c>
      <c r="R55" s="419">
        <v>3.9141707999999997E-4</v>
      </c>
      <c r="S55" s="419">
        <v>1.5900813999999999E-4</v>
      </c>
      <c r="T55" s="419">
        <v>2.7447053000000002E-4</v>
      </c>
      <c r="U55" s="419">
        <v>2.6302668999999998E-4</v>
      </c>
      <c r="V55" s="419">
        <v>3.4423715E-4</v>
      </c>
      <c r="W55" s="419">
        <v>2.8796551000000002E-4</v>
      </c>
      <c r="X55" s="419">
        <v>3.0562892000000002E-4</v>
      </c>
      <c r="Y55" s="419">
        <v>6.2576408000000001E-4</v>
      </c>
      <c r="Z55" s="419">
        <v>2.9017079000000001E-4</v>
      </c>
      <c r="AA55" s="419">
        <v>5.2571165E-4</v>
      </c>
      <c r="AB55" s="419">
        <v>5.2070255999999999E-4</v>
      </c>
    </row>
    <row r="56" spans="1:28">
      <c r="A56" s="419" t="s">
        <v>4202</v>
      </c>
      <c r="B56" s="419" t="s">
        <v>4199</v>
      </c>
      <c r="C56" s="419">
        <v>3.9171756000000002E-2</v>
      </c>
      <c r="D56" s="419">
        <v>0</v>
      </c>
      <c r="E56" s="419">
        <v>1.4488102000000001E-3</v>
      </c>
      <c r="F56" s="419">
        <v>9.0404668000000003E-4</v>
      </c>
      <c r="G56" s="419">
        <v>1.1997656E-3</v>
      </c>
      <c r="H56" s="419">
        <v>1.2975606000000001E-3</v>
      </c>
      <c r="I56" s="419">
        <v>1.3231642E-3</v>
      </c>
      <c r="J56" s="419">
        <v>1.3370547999999999E-3</v>
      </c>
      <c r="K56" s="419">
        <v>2.0830214000000001E-3</v>
      </c>
      <c r="L56" s="419">
        <v>1.9890238999999998E-3</v>
      </c>
      <c r="M56" s="419">
        <v>5.2065930999999998E-4</v>
      </c>
      <c r="N56" s="419">
        <v>1.3880728E-3</v>
      </c>
      <c r="O56" s="419">
        <v>7.2911249999999999E-3</v>
      </c>
      <c r="P56" s="419">
        <v>3.8955029000000002E-3</v>
      </c>
      <c r="Q56" s="419">
        <v>2.6897484999999998E-3</v>
      </c>
      <c r="R56" s="419">
        <v>1.5364809999999999E-3</v>
      </c>
      <c r="S56" s="419">
        <v>4.4455758000000001E-4</v>
      </c>
      <c r="T56" s="419">
        <v>7.1050461999999995E-4</v>
      </c>
      <c r="U56" s="419">
        <v>3.8479999000000001E-4</v>
      </c>
      <c r="V56" s="419">
        <v>1.5062933E-3</v>
      </c>
      <c r="W56" s="419">
        <v>8.0016037999999995E-4</v>
      </c>
      <c r="X56" s="419">
        <v>7.6104343E-4</v>
      </c>
      <c r="Y56" s="419">
        <v>1.6481131999999999E-3</v>
      </c>
      <c r="Z56" s="419">
        <v>9.6787643000000002E-4</v>
      </c>
      <c r="AA56" s="419">
        <v>1.5090324999999999E-3</v>
      </c>
      <c r="AB56" s="419">
        <v>1.5353381000000001E-3</v>
      </c>
    </row>
    <row r="57" spans="1:28">
      <c r="A57" s="419" t="s">
        <v>4203</v>
      </c>
      <c r="B57" s="419" t="s">
        <v>4204</v>
      </c>
      <c r="C57" s="419">
        <v>4.0449816999999999E-2</v>
      </c>
      <c r="D57" s="419">
        <v>0</v>
      </c>
      <c r="E57" s="419">
        <v>1.2431097000000001E-3</v>
      </c>
      <c r="F57" s="419">
        <v>9.8197932999999999E-4</v>
      </c>
      <c r="G57" s="419">
        <v>2.1895801E-3</v>
      </c>
      <c r="H57" s="419">
        <v>1.4946094E-3</v>
      </c>
      <c r="I57" s="419">
        <v>2.9724857999999998E-3</v>
      </c>
      <c r="J57" s="419">
        <v>2.1448116000000001E-3</v>
      </c>
      <c r="K57" s="419">
        <v>3.5876821000000001E-3</v>
      </c>
      <c r="L57" s="419">
        <v>1.5825190999999999E-3</v>
      </c>
      <c r="M57" s="419">
        <v>4.094883E-4</v>
      </c>
      <c r="N57" s="419">
        <v>1.4497951000000001E-3</v>
      </c>
      <c r="O57" s="419">
        <v>3.3988026E-3</v>
      </c>
      <c r="P57" s="419">
        <v>3.3036380999999998E-3</v>
      </c>
      <c r="Q57" s="419">
        <v>1.8624348000000001E-3</v>
      </c>
      <c r="R57" s="419">
        <v>1.1307197000000001E-3</v>
      </c>
      <c r="S57" s="419">
        <v>5.4542158999999995E-4</v>
      </c>
      <c r="T57" s="419">
        <v>9.2667436999999998E-4</v>
      </c>
      <c r="U57" s="419">
        <v>7.6697660000000004E-4</v>
      </c>
      <c r="V57" s="419">
        <v>9.6348327000000001E-4</v>
      </c>
      <c r="W57" s="419">
        <v>9.3992494999999997E-4</v>
      </c>
      <c r="X57" s="419">
        <v>9.4801325000000002E-4</v>
      </c>
      <c r="Y57" s="419">
        <v>3.3247247000000001E-3</v>
      </c>
      <c r="Z57" s="419">
        <v>9.4380066000000003E-4</v>
      </c>
      <c r="AA57" s="419">
        <v>1.6648777E-3</v>
      </c>
      <c r="AB57" s="419">
        <v>1.6742644999999999E-3</v>
      </c>
    </row>
    <row r="58" spans="1:28">
      <c r="A58" s="419" t="s">
        <v>4205</v>
      </c>
      <c r="B58" s="419" t="s">
        <v>4206</v>
      </c>
      <c r="C58" s="419">
        <v>5.1445085999999999E-4</v>
      </c>
      <c r="D58" s="419">
        <v>0</v>
      </c>
      <c r="E58" s="1385">
        <v>1.6883632E-5</v>
      </c>
      <c r="F58" s="1385">
        <v>9.7303843000000003E-6</v>
      </c>
      <c r="G58" s="1385">
        <v>6.1445311999999999E-6</v>
      </c>
      <c r="H58" s="1385">
        <v>7.3201381000000002E-6</v>
      </c>
      <c r="I58" s="1385">
        <v>7.0923017999999996E-6</v>
      </c>
      <c r="J58" s="1385">
        <v>9.9095752000000006E-6</v>
      </c>
      <c r="K58" s="1385">
        <v>1.1216142000000001E-5</v>
      </c>
      <c r="L58" s="1385">
        <v>1.4219736000000001E-5</v>
      </c>
      <c r="M58" s="1385">
        <v>1.2851474999999999E-6</v>
      </c>
      <c r="N58" s="1385">
        <v>8.2135713999999992E-6</v>
      </c>
      <c r="O58" s="1385">
        <v>1.1772047E-5</v>
      </c>
      <c r="P58" s="1385">
        <v>4.3017103E-5</v>
      </c>
      <c r="Q58" s="1385">
        <v>1.7352635E-5</v>
      </c>
      <c r="R58" s="1385">
        <v>1.2425723E-5</v>
      </c>
      <c r="S58" s="1385">
        <v>1.2625527E-5</v>
      </c>
      <c r="T58" s="1385">
        <v>2.0756976999999998E-5</v>
      </c>
      <c r="U58" s="1385">
        <v>6.2091960999999996E-6</v>
      </c>
      <c r="V58" s="1385">
        <v>9.0719506000000001E-6</v>
      </c>
      <c r="W58" s="1385">
        <v>1.9298853000000001E-5</v>
      </c>
      <c r="X58" s="1385">
        <v>1.2332323999999999E-5</v>
      </c>
      <c r="Y58" s="419">
        <v>1.7159592000000001E-4</v>
      </c>
      <c r="Z58" s="1385">
        <v>1.9293355000000001E-5</v>
      </c>
      <c r="AA58" s="1385">
        <v>3.1810824999999999E-5</v>
      </c>
      <c r="AB58" s="1385">
        <v>3.4873262E-5</v>
      </c>
    </row>
    <row r="59" spans="1:28">
      <c r="A59" s="419" t="s">
        <v>4207</v>
      </c>
      <c r="B59" s="419" t="s">
        <v>4208</v>
      </c>
      <c r="C59" s="419">
        <v>0</v>
      </c>
      <c r="D59" s="419">
        <v>0</v>
      </c>
      <c r="E59" s="419">
        <v>0</v>
      </c>
      <c r="F59" s="419">
        <v>0</v>
      </c>
      <c r="G59" s="419">
        <v>0</v>
      </c>
      <c r="H59" s="419">
        <v>0</v>
      </c>
      <c r="I59" s="419">
        <v>0</v>
      </c>
      <c r="J59" s="419">
        <v>0</v>
      </c>
      <c r="K59" s="419">
        <v>0</v>
      </c>
      <c r="L59" s="419">
        <v>0</v>
      </c>
      <c r="M59" s="419">
        <v>0</v>
      </c>
      <c r="N59" s="419">
        <v>0</v>
      </c>
      <c r="O59" s="419">
        <v>0</v>
      </c>
      <c r="P59" s="419">
        <v>0</v>
      </c>
      <c r="Q59" s="419">
        <v>0</v>
      </c>
      <c r="R59" s="419">
        <v>0</v>
      </c>
      <c r="S59" s="419">
        <v>0</v>
      </c>
      <c r="T59" s="419">
        <v>0</v>
      </c>
      <c r="U59" s="419">
        <v>0</v>
      </c>
      <c r="V59" s="419">
        <v>0</v>
      </c>
      <c r="W59" s="419">
        <v>0</v>
      </c>
      <c r="X59" s="419">
        <v>0</v>
      </c>
      <c r="Y59" s="419">
        <v>0</v>
      </c>
      <c r="Z59" s="419">
        <v>0</v>
      </c>
      <c r="AA59" s="419">
        <v>0</v>
      </c>
      <c r="AB59" s="419">
        <v>0</v>
      </c>
    </row>
    <row r="60" spans="1:28">
      <c r="A60" s="419" t="s">
        <v>4209</v>
      </c>
      <c r="B60" s="419" t="s">
        <v>4210</v>
      </c>
      <c r="C60" s="419">
        <v>16.596720999999999</v>
      </c>
      <c r="D60" s="419">
        <v>0</v>
      </c>
      <c r="E60" s="419">
        <v>0.39693708999999999</v>
      </c>
      <c r="F60" s="419">
        <v>0.28055819999999998</v>
      </c>
      <c r="G60" s="419">
        <v>1.7302739</v>
      </c>
      <c r="H60" s="419">
        <v>0.56894005000000003</v>
      </c>
      <c r="I60" s="419">
        <v>1.5101849000000001</v>
      </c>
      <c r="J60" s="419">
        <v>0.83633670000000004</v>
      </c>
      <c r="K60" s="419">
        <v>2.5202659000000001</v>
      </c>
      <c r="L60" s="419">
        <v>0.62049286999999997</v>
      </c>
      <c r="M60" s="419">
        <v>0.21279719</v>
      </c>
      <c r="N60" s="419">
        <v>0.51485592999999996</v>
      </c>
      <c r="O60" s="419">
        <v>1.8848701999999999</v>
      </c>
      <c r="P60" s="419">
        <v>0.71349183999999999</v>
      </c>
      <c r="Q60" s="419">
        <v>0.84503169</v>
      </c>
      <c r="R60" s="419">
        <v>0.52819227000000002</v>
      </c>
      <c r="S60" s="419">
        <v>0.15193810999999999</v>
      </c>
      <c r="T60" s="419">
        <v>0.25726566000000001</v>
      </c>
      <c r="U60" s="419">
        <v>0.21540287999999999</v>
      </c>
      <c r="V60" s="419">
        <v>0.58420353000000003</v>
      </c>
      <c r="W60" s="419">
        <v>0.29283137999999997</v>
      </c>
      <c r="X60" s="419">
        <v>0.29429490000000003</v>
      </c>
      <c r="Y60" s="419">
        <v>0.27289674000000003</v>
      </c>
      <c r="Z60" s="419">
        <v>0.35909892999999998</v>
      </c>
      <c r="AA60" s="419">
        <v>0.51386816000000002</v>
      </c>
      <c r="AB60" s="419">
        <v>0.49169180000000001</v>
      </c>
    </row>
    <row r="61" spans="1:28">
      <c r="A61" s="419" t="s">
        <v>4211</v>
      </c>
      <c r="B61" s="419" t="s">
        <v>4210</v>
      </c>
      <c r="C61" s="419">
        <v>3.0862335999999997E-4</v>
      </c>
      <c r="D61" s="419">
        <v>0</v>
      </c>
      <c r="E61" s="1385">
        <v>4.8108075000000003E-6</v>
      </c>
      <c r="F61" s="1385">
        <v>4.2513072000000001E-6</v>
      </c>
      <c r="G61" s="1385">
        <v>4.5767031999999998E-5</v>
      </c>
      <c r="H61" s="1385">
        <v>1.0386278000000001E-5</v>
      </c>
      <c r="I61" s="1385">
        <v>3.7703717999999999E-5</v>
      </c>
      <c r="J61" s="1385">
        <v>1.9048596000000002E-5</v>
      </c>
      <c r="K61" s="1385">
        <v>6.6898411000000007E-5</v>
      </c>
      <c r="L61" s="1385">
        <v>8.9191330999999992E-6</v>
      </c>
      <c r="M61" s="1385">
        <v>3.8371011000000003E-6</v>
      </c>
      <c r="N61" s="1385">
        <v>9.3765648000000004E-6</v>
      </c>
      <c r="O61" s="1385">
        <v>1.5638767E-5</v>
      </c>
      <c r="P61" s="1385">
        <v>1.317389E-5</v>
      </c>
      <c r="Q61" s="1385">
        <v>1.0022923E-5</v>
      </c>
      <c r="R61" s="1385">
        <v>6.9766423999999999E-6</v>
      </c>
      <c r="S61" s="1385">
        <v>2.3526922E-6</v>
      </c>
      <c r="T61" s="1385">
        <v>4.2766699999999997E-6</v>
      </c>
      <c r="U61" s="1385">
        <v>4.5675606000000003E-6</v>
      </c>
      <c r="V61" s="1385">
        <v>6.6605052000000002E-6</v>
      </c>
      <c r="W61" s="1385">
        <v>4.6836476000000002E-6</v>
      </c>
      <c r="X61" s="1385">
        <v>5.7149028000000001E-6</v>
      </c>
      <c r="Y61" s="1385">
        <v>4.9497058000000001E-6</v>
      </c>
      <c r="Z61" s="1385">
        <v>4.8187347000000002E-6</v>
      </c>
      <c r="AA61" s="1385">
        <v>6.9660040999999999E-6</v>
      </c>
      <c r="AB61" s="1385">
        <v>6.8217648999999998E-6</v>
      </c>
    </row>
    <row r="62" spans="1:28">
      <c r="A62" s="419" t="s">
        <v>4212</v>
      </c>
      <c r="B62" s="419" t="s">
        <v>4210</v>
      </c>
      <c r="C62" s="419">
        <v>9.2500727000000005E-3</v>
      </c>
      <c r="D62" s="419">
        <v>0</v>
      </c>
      <c r="E62" s="419">
        <v>1.9592161E-4</v>
      </c>
      <c r="F62" s="419">
        <v>1.4713287999999999E-4</v>
      </c>
      <c r="G62" s="419">
        <v>1.094357E-3</v>
      </c>
      <c r="H62" s="419">
        <v>3.1848016000000001E-4</v>
      </c>
      <c r="I62" s="419">
        <v>9.3894503000000005E-4</v>
      </c>
      <c r="J62" s="419">
        <v>5.0741817000000001E-4</v>
      </c>
      <c r="K62" s="419">
        <v>1.5999406E-3</v>
      </c>
      <c r="L62" s="419">
        <v>3.2005933000000002E-4</v>
      </c>
      <c r="M62" s="419">
        <v>1.1730898E-4</v>
      </c>
      <c r="N62" s="419">
        <v>2.8449802999999999E-4</v>
      </c>
      <c r="O62" s="419">
        <v>8.5605586999999998E-4</v>
      </c>
      <c r="P62" s="419">
        <v>3.9766157E-4</v>
      </c>
      <c r="Q62" s="419">
        <v>4.1358289999999999E-4</v>
      </c>
      <c r="R62" s="419">
        <v>2.6587884E-4</v>
      </c>
      <c r="S62" s="1385">
        <v>7.9839424000000006E-5</v>
      </c>
      <c r="T62" s="419">
        <v>1.3818114999999999E-4</v>
      </c>
      <c r="U62" s="419">
        <v>1.2497117000000001E-4</v>
      </c>
      <c r="V62" s="419">
        <v>2.8360469999999999E-4</v>
      </c>
      <c r="W62" s="419">
        <v>1.5573188E-4</v>
      </c>
      <c r="X62" s="419">
        <v>1.6654657E-4</v>
      </c>
      <c r="Y62" s="419">
        <v>1.5082718000000001E-4</v>
      </c>
      <c r="Z62" s="419">
        <v>1.8155746999999999E-4</v>
      </c>
      <c r="AA62" s="419">
        <v>2.605997E-4</v>
      </c>
      <c r="AB62" s="419">
        <v>2.5097249000000002E-4</v>
      </c>
    </row>
    <row r="63" spans="1:28">
      <c r="A63" s="419" t="s">
        <v>4213</v>
      </c>
      <c r="B63" s="419" t="s">
        <v>4210</v>
      </c>
      <c r="C63" s="419">
        <v>6.0541157000000003E-3</v>
      </c>
      <c r="D63" s="419">
        <v>0</v>
      </c>
      <c r="E63" s="419">
        <v>1.0030958E-4</v>
      </c>
      <c r="F63" s="1385">
        <v>9.5159810000000004E-5</v>
      </c>
      <c r="G63" s="419">
        <v>7.9898017E-4</v>
      </c>
      <c r="H63" s="419">
        <v>2.5615304999999998E-4</v>
      </c>
      <c r="I63" s="419">
        <v>7.9013352999999999E-4</v>
      </c>
      <c r="J63" s="419">
        <v>4.8538660000000002E-4</v>
      </c>
      <c r="K63" s="419">
        <v>1.2663338E-3</v>
      </c>
      <c r="L63" s="419">
        <v>1.7991652E-4</v>
      </c>
      <c r="M63" s="1385">
        <v>7.3384878999999999E-5</v>
      </c>
      <c r="N63" s="419">
        <v>2.1993988E-4</v>
      </c>
      <c r="O63" s="419">
        <v>1.4237973E-4</v>
      </c>
      <c r="P63" s="419">
        <v>4.0662502000000001E-4</v>
      </c>
      <c r="Q63" s="419">
        <v>1.5592350000000001E-4</v>
      </c>
      <c r="R63" s="419">
        <v>1.1692302999999999E-4</v>
      </c>
      <c r="S63" s="1385">
        <v>4.7491429999999999E-5</v>
      </c>
      <c r="T63" s="1385">
        <v>8.4397155000000003E-5</v>
      </c>
      <c r="U63" s="1385">
        <v>8.2076322000000006E-5</v>
      </c>
      <c r="V63" s="1385">
        <v>9.0095332999999995E-5</v>
      </c>
      <c r="W63" s="1385">
        <v>9.9464745E-5</v>
      </c>
      <c r="X63" s="419">
        <v>1.2255885999999999E-4</v>
      </c>
      <c r="Y63" s="419">
        <v>1.0452004E-4</v>
      </c>
      <c r="Z63" s="1385">
        <v>8.3420529999999994E-5</v>
      </c>
      <c r="AA63" s="419">
        <v>1.2485746000000001E-4</v>
      </c>
      <c r="AB63" s="419">
        <v>1.2768470999999999E-4</v>
      </c>
    </row>
    <row r="64" spans="1:28">
      <c r="A64" s="419" t="s">
        <v>4214</v>
      </c>
      <c r="B64" s="419" t="s">
        <v>4210</v>
      </c>
      <c r="C64" s="419">
        <v>1.4726219</v>
      </c>
      <c r="D64" s="419">
        <v>0</v>
      </c>
      <c r="E64" s="419">
        <v>1.7608129E-2</v>
      </c>
      <c r="F64" s="419">
        <v>1.7605477000000001E-2</v>
      </c>
      <c r="G64" s="419">
        <v>0.24141016000000001</v>
      </c>
      <c r="H64" s="419">
        <v>5.0083107000000002E-2</v>
      </c>
      <c r="I64" s="419">
        <v>0.20411433000000001</v>
      </c>
      <c r="J64" s="419">
        <v>0.10124724</v>
      </c>
      <c r="K64" s="419">
        <v>0.35373041999999999</v>
      </c>
      <c r="L64" s="419">
        <v>3.6975467999999997E-2</v>
      </c>
      <c r="M64" s="419">
        <v>1.7531340999999999E-2</v>
      </c>
      <c r="N64" s="419">
        <v>4.7496932999999998E-2</v>
      </c>
      <c r="O64" s="419">
        <v>3.3154551999999997E-2</v>
      </c>
      <c r="P64" s="419">
        <v>7.2830793000000005E-2</v>
      </c>
      <c r="Q64" s="419">
        <v>3.5502357999999998E-2</v>
      </c>
      <c r="R64" s="419">
        <v>2.6979895E-2</v>
      </c>
      <c r="S64" s="419">
        <v>1.0093721999999999E-2</v>
      </c>
      <c r="T64" s="419">
        <v>1.8926463000000001E-2</v>
      </c>
      <c r="U64" s="419">
        <v>2.1856737000000001E-2</v>
      </c>
      <c r="V64" s="419">
        <v>2.2338915000000001E-2</v>
      </c>
      <c r="W64" s="419">
        <v>2.0825237E-2</v>
      </c>
      <c r="X64" s="419">
        <v>2.7174344999999999E-2</v>
      </c>
      <c r="Y64" s="419">
        <v>2.2681448999999999E-2</v>
      </c>
      <c r="Z64" s="419">
        <v>1.8740765E-2</v>
      </c>
      <c r="AA64" s="419">
        <v>2.7095668E-2</v>
      </c>
      <c r="AB64" s="419">
        <v>2.6618378000000002E-2</v>
      </c>
    </row>
    <row r="65" spans="1:28">
      <c r="A65" s="419" t="s">
        <v>4215</v>
      </c>
      <c r="B65" s="419" t="s">
        <v>4216</v>
      </c>
      <c r="C65" s="419">
        <v>3.9741445999999998</v>
      </c>
      <c r="D65" s="419">
        <v>0</v>
      </c>
      <c r="E65" s="419">
        <v>0.19654642999999999</v>
      </c>
      <c r="F65" s="419">
        <v>0.29139745</v>
      </c>
      <c r="G65" s="419">
        <v>7.3986640000000006E-2</v>
      </c>
      <c r="H65" s="419">
        <v>8.1171010000000002E-2</v>
      </c>
      <c r="I65" s="419">
        <v>8.9229271999999998E-2</v>
      </c>
      <c r="J65" s="419">
        <v>0.13190901999999999</v>
      </c>
      <c r="K65" s="419">
        <v>0.16914417000000001</v>
      </c>
      <c r="L65" s="419">
        <v>0.17596696000000001</v>
      </c>
      <c r="M65" s="419">
        <v>2.3269738000000002E-2</v>
      </c>
      <c r="N65" s="419">
        <v>8.6192149999999995E-2</v>
      </c>
      <c r="O65" s="419">
        <v>0.10283127</v>
      </c>
      <c r="P65" s="419">
        <v>0.24535153000000001</v>
      </c>
      <c r="Q65" s="419">
        <v>0.13963175</v>
      </c>
      <c r="R65" s="419">
        <v>9.9353803000000004E-2</v>
      </c>
      <c r="S65" s="419">
        <v>7.9352131000000006E-2</v>
      </c>
      <c r="T65" s="419">
        <v>0.1366019</v>
      </c>
      <c r="U65" s="419">
        <v>6.3565683999999997E-2</v>
      </c>
      <c r="V65" s="419">
        <v>7.7737114999999996E-2</v>
      </c>
      <c r="W65" s="419">
        <v>0.12991426</v>
      </c>
      <c r="X65" s="419">
        <v>0.10781143</v>
      </c>
      <c r="Y65" s="419">
        <v>0.80043807</v>
      </c>
      <c r="Z65" s="419">
        <v>0.14167395999999999</v>
      </c>
      <c r="AA65" s="419">
        <v>0.21468887</v>
      </c>
      <c r="AB65" s="419">
        <v>0.31637999999999999</v>
      </c>
    </row>
    <row r="66" spans="1:28">
      <c r="A66" s="419" t="s">
        <v>4217</v>
      </c>
      <c r="B66" s="419" t="s">
        <v>4218</v>
      </c>
      <c r="C66" s="419">
        <v>2.2577951000000001</v>
      </c>
      <c r="D66" s="419">
        <v>0</v>
      </c>
      <c r="E66" s="419">
        <v>2.1752931E-2</v>
      </c>
      <c r="F66" s="419">
        <v>2.1355096E-2</v>
      </c>
      <c r="G66" s="419">
        <v>0.18888041</v>
      </c>
      <c r="H66" s="419">
        <v>9.3461014999999995E-2</v>
      </c>
      <c r="I66" s="419">
        <v>0.52399320999999999</v>
      </c>
      <c r="J66" s="419">
        <v>0.34366764</v>
      </c>
      <c r="K66" s="419">
        <v>0.43964051999999998</v>
      </c>
      <c r="L66" s="419">
        <v>4.4170701E-2</v>
      </c>
      <c r="M66" s="419">
        <v>2.1087277000000001E-2</v>
      </c>
      <c r="N66" s="419">
        <v>5.6381924999999999E-2</v>
      </c>
      <c r="O66" s="419">
        <v>3.2121327999999998E-2</v>
      </c>
      <c r="P66" s="419">
        <v>7.7527415000000002E-2</v>
      </c>
      <c r="Q66" s="419">
        <v>4.0376339999999997E-2</v>
      </c>
      <c r="R66" s="419">
        <v>3.7243887000000003E-2</v>
      </c>
      <c r="S66" s="419">
        <v>1.5368786000000001E-2</v>
      </c>
      <c r="T66" s="419">
        <v>2.8385515E-2</v>
      </c>
      <c r="U66" s="419">
        <v>4.3299925000000003E-2</v>
      </c>
      <c r="V66" s="419">
        <v>2.6208102E-2</v>
      </c>
      <c r="W66" s="419">
        <v>3.1592463000000001E-2</v>
      </c>
      <c r="X66" s="419">
        <v>3.6713633000000002E-2</v>
      </c>
      <c r="Y66" s="419">
        <v>3.6842591000000001E-2</v>
      </c>
      <c r="Z66" s="419">
        <v>2.4293084999999999E-2</v>
      </c>
      <c r="AA66" s="419">
        <v>3.7363803000000001E-2</v>
      </c>
      <c r="AB66" s="419">
        <v>3.6067544999999999E-2</v>
      </c>
    </row>
    <row r="67" spans="1:28">
      <c r="A67" s="419" t="s">
        <v>4219</v>
      </c>
      <c r="B67" s="419" t="s">
        <v>4220</v>
      </c>
      <c r="C67" s="419">
        <v>1.6351783</v>
      </c>
      <c r="D67" s="419">
        <v>0</v>
      </c>
      <c r="E67" s="419">
        <v>5.5933897000000003E-2</v>
      </c>
      <c r="F67" s="419">
        <v>3.8621897000000002E-2</v>
      </c>
      <c r="G67" s="419">
        <v>4.8640862999999999E-2</v>
      </c>
      <c r="H67" s="419">
        <v>4.8742302000000001E-2</v>
      </c>
      <c r="I67" s="419">
        <v>4.8814084000000001E-2</v>
      </c>
      <c r="J67" s="419">
        <v>4.5521964999999998E-2</v>
      </c>
      <c r="K67" s="419">
        <v>7.7700310999999994E-2</v>
      </c>
      <c r="L67" s="419">
        <v>7.9048972999999995E-2</v>
      </c>
      <c r="M67" s="419">
        <v>2.3260652999999999E-2</v>
      </c>
      <c r="N67" s="419">
        <v>4.4323105000000002E-2</v>
      </c>
      <c r="O67" s="419">
        <v>0.2684223</v>
      </c>
      <c r="P67" s="419">
        <v>0.26333206999999997</v>
      </c>
      <c r="Q67" s="419">
        <v>0.1107432</v>
      </c>
      <c r="R67" s="419">
        <v>6.3979760999999996E-2</v>
      </c>
      <c r="S67" s="419">
        <v>1.8969963999999999E-2</v>
      </c>
      <c r="T67" s="419">
        <v>2.891821E-2</v>
      </c>
      <c r="U67" s="419">
        <v>1.5657457E-2</v>
      </c>
      <c r="V67" s="419">
        <v>7.5961808000000006E-2</v>
      </c>
      <c r="W67" s="419">
        <v>3.3090069999999999E-2</v>
      </c>
      <c r="X67" s="419">
        <v>3.3614586000000002E-2</v>
      </c>
      <c r="Y67" s="419">
        <v>3.3472521999999998E-2</v>
      </c>
      <c r="Z67" s="419">
        <v>4.4740264000000002E-2</v>
      </c>
      <c r="AA67" s="419">
        <v>6.9310732E-2</v>
      </c>
      <c r="AB67" s="419">
        <v>6.4357301000000006E-2</v>
      </c>
    </row>
    <row r="68" spans="1:28">
      <c r="A68" s="419" t="s">
        <v>4221</v>
      </c>
      <c r="B68" s="419" t="s">
        <v>449</v>
      </c>
      <c r="C68" s="419">
        <v>9.0475949</v>
      </c>
      <c r="D68" s="419">
        <v>0</v>
      </c>
      <c r="E68" s="419">
        <v>1.7288824000000001E-2</v>
      </c>
      <c r="F68" s="419">
        <v>8.6486070000000009E-3</v>
      </c>
      <c r="G68" s="419">
        <v>1.3866896E-2</v>
      </c>
      <c r="H68" s="419">
        <v>1.1392958999999999E-2</v>
      </c>
      <c r="I68" s="419">
        <v>1.4758623E-2</v>
      </c>
      <c r="J68" s="419">
        <v>1.3022363E-2</v>
      </c>
      <c r="K68" s="419">
        <v>2.1683582999999999E-2</v>
      </c>
      <c r="L68" s="419">
        <v>8.6980281999999995</v>
      </c>
      <c r="M68" s="419">
        <v>4.3787744000000003E-3</v>
      </c>
      <c r="N68" s="419">
        <v>9.8086565000000004E-3</v>
      </c>
      <c r="O68" s="419">
        <v>3.4036903E-2</v>
      </c>
      <c r="P68" s="419">
        <v>3.7951998000000001E-2</v>
      </c>
      <c r="Q68" s="419">
        <v>1.7705644999999999E-2</v>
      </c>
      <c r="R68" s="419">
        <v>1.1048672000000001E-2</v>
      </c>
      <c r="S68" s="419">
        <v>5.3555542999999999E-3</v>
      </c>
      <c r="T68" s="419">
        <v>8.4109463999999991E-3</v>
      </c>
      <c r="U68" s="419">
        <v>3.482522E-3</v>
      </c>
      <c r="V68" s="419">
        <v>1.1106939999999999E-2</v>
      </c>
      <c r="W68" s="419">
        <v>9.2011100999999998E-3</v>
      </c>
      <c r="X68" s="419">
        <v>8.2999406999999994E-3</v>
      </c>
      <c r="Y68" s="419">
        <v>4.4329649999999998E-2</v>
      </c>
      <c r="Z68" s="419">
        <v>9.4477775000000007E-3</v>
      </c>
      <c r="AA68" s="419">
        <v>1.528299E-2</v>
      </c>
      <c r="AB68" s="419">
        <v>1.9056690000000001E-2</v>
      </c>
    </row>
    <row r="89" spans="1:2">
      <c r="A89" s="419" t="s">
        <v>4017</v>
      </c>
      <c r="B89" s="419" t="s">
        <v>4018</v>
      </c>
    </row>
    <row r="90" spans="1:2">
      <c r="A90" s="419" t="s">
        <v>4020</v>
      </c>
      <c r="B90" s="419" t="s">
        <v>4021</v>
      </c>
    </row>
    <row r="91" spans="1:2">
      <c r="A91" s="419" t="s">
        <v>4023</v>
      </c>
      <c r="B91" s="419" t="s">
        <v>4222</v>
      </c>
    </row>
    <row r="92" spans="1:2">
      <c r="A92" s="419" t="s">
        <v>4026</v>
      </c>
      <c r="B92" s="419" t="s">
        <v>4223</v>
      </c>
    </row>
    <row r="93" spans="1:2">
      <c r="A93" s="419" t="s">
        <v>4029</v>
      </c>
      <c r="B93" s="419" t="s">
        <v>4030</v>
      </c>
    </row>
    <row r="94" spans="1:2">
      <c r="A94" s="419" t="s">
        <v>4032</v>
      </c>
      <c r="B94" s="419" t="s">
        <v>4033</v>
      </c>
    </row>
    <row r="95" spans="1:2">
      <c r="A95" s="419" t="s">
        <v>4035</v>
      </c>
      <c r="B95" s="419" t="s">
        <v>127</v>
      </c>
    </row>
    <row r="96" spans="1:2">
      <c r="A96" s="419" t="s">
        <v>4037</v>
      </c>
      <c r="B96" s="419" t="s">
        <v>127</v>
      </c>
    </row>
    <row r="97" spans="1:36">
      <c r="A97" s="419" t="s">
        <v>4039</v>
      </c>
      <c r="B97" s="419" t="s">
        <v>4040</v>
      </c>
    </row>
    <row r="98" spans="1:36">
      <c r="A98" s="419" t="s">
        <v>4042</v>
      </c>
      <c r="B98" s="419" t="s">
        <v>4043</v>
      </c>
    </row>
    <row r="100" spans="1:36">
      <c r="A100" s="419" t="s">
        <v>4040</v>
      </c>
      <c r="B100" s="419" t="s">
        <v>4049</v>
      </c>
      <c r="C100" s="419" t="s">
        <v>87</v>
      </c>
      <c r="D100" s="419" t="s">
        <v>4224</v>
      </c>
      <c r="E100" s="419" t="s">
        <v>4225</v>
      </c>
      <c r="F100" s="419" t="s">
        <v>4226</v>
      </c>
      <c r="G100" s="419" t="s">
        <v>4227</v>
      </c>
      <c r="H100" s="419" t="s">
        <v>4228</v>
      </c>
      <c r="I100" s="419" t="s">
        <v>4229</v>
      </c>
      <c r="J100" s="419" t="s">
        <v>4230</v>
      </c>
      <c r="K100" s="419" t="s">
        <v>4231</v>
      </c>
      <c r="L100" s="419" t="s">
        <v>4232</v>
      </c>
      <c r="M100" s="419" t="s">
        <v>4233</v>
      </c>
      <c r="N100" s="419" t="s">
        <v>4234</v>
      </c>
      <c r="O100" s="419" t="s">
        <v>4235</v>
      </c>
      <c r="P100" s="419" t="s">
        <v>4236</v>
      </c>
      <c r="Q100" s="419" t="s">
        <v>4237</v>
      </c>
      <c r="R100" s="419" t="s">
        <v>4238</v>
      </c>
      <c r="S100" s="419" t="s">
        <v>4239</v>
      </c>
      <c r="T100" s="419" t="s">
        <v>4240</v>
      </c>
      <c r="U100" s="419" t="s">
        <v>4241</v>
      </c>
      <c r="V100" s="419" t="s">
        <v>4242</v>
      </c>
      <c r="W100" s="419" t="s">
        <v>4243</v>
      </c>
      <c r="X100" s="419" t="s">
        <v>4244</v>
      </c>
      <c r="Y100" s="419" t="s">
        <v>4245</v>
      </c>
      <c r="Z100" s="419" t="s">
        <v>4246</v>
      </c>
      <c r="AA100" s="419" t="s">
        <v>4247</v>
      </c>
      <c r="AB100" s="419" t="s">
        <v>4248</v>
      </c>
      <c r="AC100" s="419" t="s">
        <v>4249</v>
      </c>
      <c r="AD100" s="419" t="s">
        <v>4250</v>
      </c>
      <c r="AE100" s="419" t="s">
        <v>4251</v>
      </c>
      <c r="AF100" s="419" t="s">
        <v>4239</v>
      </c>
      <c r="AG100" s="419" t="s">
        <v>4246</v>
      </c>
      <c r="AH100" s="419" t="s">
        <v>4252</v>
      </c>
      <c r="AI100" s="419" t="s">
        <v>4253</v>
      </c>
      <c r="AJ100" s="419" t="s">
        <v>4254</v>
      </c>
    </row>
    <row r="101" spans="1:36">
      <c r="A101" s="419" t="s">
        <v>4193</v>
      </c>
      <c r="B101" s="419" t="s">
        <v>4058</v>
      </c>
      <c r="C101" s="419">
        <v>17.092580000000002</v>
      </c>
      <c r="D101" s="419">
        <v>0</v>
      </c>
      <c r="E101" s="419">
        <v>0.32957987</v>
      </c>
      <c r="F101" s="419">
        <v>0.23610624999999999</v>
      </c>
      <c r="G101" s="419">
        <v>0.43461512000000002</v>
      </c>
      <c r="H101" s="419">
        <v>0.38812162</v>
      </c>
      <c r="I101" s="419">
        <v>0.47671433000000002</v>
      </c>
      <c r="J101" s="419">
        <v>0.43240796999999997</v>
      </c>
      <c r="K101" s="419">
        <v>0.69347579999999998</v>
      </c>
      <c r="L101" s="419">
        <v>0.49813173999999999</v>
      </c>
      <c r="M101" s="419">
        <v>0.13468558</v>
      </c>
      <c r="N101" s="419">
        <v>0.32149306999999999</v>
      </c>
      <c r="O101" s="419">
        <v>1.1563228000000001</v>
      </c>
      <c r="P101" s="419">
        <v>1.3204619</v>
      </c>
      <c r="Q101" s="419">
        <v>0.54710369999999997</v>
      </c>
      <c r="R101" s="419">
        <v>0.33101680999999999</v>
      </c>
      <c r="S101" s="419">
        <v>0.12407724000000001</v>
      </c>
      <c r="T101" s="419">
        <v>0.18015993</v>
      </c>
      <c r="U101" s="419">
        <v>0.10019122</v>
      </c>
      <c r="V101" s="419">
        <v>0.34921655000000001</v>
      </c>
      <c r="W101" s="419">
        <v>0.21332419999999999</v>
      </c>
      <c r="X101" s="419">
        <v>0.23149718999999999</v>
      </c>
      <c r="Y101" s="419">
        <v>0.35330566000000002</v>
      </c>
      <c r="Z101" s="419">
        <v>0.24271677999999999</v>
      </c>
      <c r="AA101" s="419">
        <v>0.39383898000000001</v>
      </c>
      <c r="AB101" s="419">
        <v>0.37482599999999999</v>
      </c>
      <c r="AC101" s="419">
        <v>0.79224786999999997</v>
      </c>
      <c r="AD101" s="419">
        <v>0.35438323999999999</v>
      </c>
      <c r="AE101" s="419">
        <v>0.47834154000000001</v>
      </c>
      <c r="AF101" s="419">
        <v>0.12407724000000001</v>
      </c>
      <c r="AG101" s="419">
        <v>0.24271677999999999</v>
      </c>
      <c r="AH101" s="419">
        <v>0.63845717000000002</v>
      </c>
      <c r="AI101" s="419">
        <v>0.97972809999999999</v>
      </c>
      <c r="AJ101" s="419">
        <v>3.6192375000000001</v>
      </c>
    </row>
    <row r="102" spans="1:36">
      <c r="A102" s="419" t="s">
        <v>4194</v>
      </c>
      <c r="B102" s="419" t="s">
        <v>4195</v>
      </c>
      <c r="C102" s="1385">
        <v>1.2759258E-5</v>
      </c>
      <c r="D102" s="419">
        <v>0</v>
      </c>
      <c r="E102" s="1385">
        <v>2.7067354E-7</v>
      </c>
      <c r="F102" s="1385">
        <v>1.3296779999999999E-7</v>
      </c>
      <c r="G102" s="1385">
        <v>1.2820765000000001E-7</v>
      </c>
      <c r="H102" s="1385">
        <v>1.4844562E-7</v>
      </c>
      <c r="I102" s="1385">
        <v>1.5021706999999999E-7</v>
      </c>
      <c r="J102" s="1385">
        <v>1.8943138E-7</v>
      </c>
      <c r="K102" s="1385">
        <v>2.1747232E-7</v>
      </c>
      <c r="L102" s="1385">
        <v>2.1089191E-7</v>
      </c>
      <c r="M102" s="1385">
        <v>3.3096288999999997E-8</v>
      </c>
      <c r="N102" s="1385">
        <v>1.3445746E-7</v>
      </c>
      <c r="O102" s="1385">
        <v>3.4240447000000001E-7</v>
      </c>
      <c r="P102" s="1385">
        <v>8.3322396000000001E-7</v>
      </c>
      <c r="Q102" s="1385">
        <v>2.6809779999999999E-7</v>
      </c>
      <c r="R102" s="1385">
        <v>1.8005705E-7</v>
      </c>
      <c r="S102" s="1385">
        <v>1.4496690000000001E-7</v>
      </c>
      <c r="T102" s="1385">
        <v>2.2872622999999999E-7</v>
      </c>
      <c r="U102" s="1385">
        <v>7.4602177000000002E-8</v>
      </c>
      <c r="V102" s="1385">
        <v>1.4274919999999999E-7</v>
      </c>
      <c r="W102" s="1385">
        <v>2.2816676999999999E-7</v>
      </c>
      <c r="X102" s="1385">
        <v>1.4919927999999999E-7</v>
      </c>
      <c r="Y102" s="1385">
        <v>1.7075296999999999E-6</v>
      </c>
      <c r="Z102" s="1385">
        <v>2.2910278000000001E-7</v>
      </c>
      <c r="AA102" s="1385">
        <v>3.6711633999999998E-7</v>
      </c>
      <c r="AB102" s="1385">
        <v>4.0176554E-7</v>
      </c>
      <c r="AC102" s="1385">
        <v>1.7542366999999999E-7</v>
      </c>
      <c r="AD102" s="1385">
        <v>1.7986956E-7</v>
      </c>
      <c r="AE102" s="1385">
        <v>1.3571789E-7</v>
      </c>
      <c r="AF102" s="1385">
        <v>1.4496690000000001E-7</v>
      </c>
      <c r="AG102" s="1385">
        <v>2.2910278000000001E-7</v>
      </c>
      <c r="AH102" s="1385">
        <v>7.7282618000000003E-7</v>
      </c>
      <c r="AI102" s="1385">
        <v>1.8433866999999999E-7</v>
      </c>
      <c r="AJ102" s="1385">
        <v>4.0234433000000003E-6</v>
      </c>
    </row>
    <row r="103" spans="1:36">
      <c r="A103" s="419" t="s">
        <v>4196</v>
      </c>
      <c r="B103" s="419" t="s">
        <v>4197</v>
      </c>
      <c r="C103" s="419">
        <v>0</v>
      </c>
      <c r="D103" s="419">
        <v>0</v>
      </c>
      <c r="E103" s="419">
        <v>0</v>
      </c>
      <c r="F103" s="419">
        <v>0</v>
      </c>
      <c r="G103" s="419">
        <v>0</v>
      </c>
      <c r="H103" s="419">
        <v>0</v>
      </c>
      <c r="I103" s="419">
        <v>0</v>
      </c>
      <c r="J103" s="419">
        <v>0</v>
      </c>
      <c r="K103" s="419">
        <v>0</v>
      </c>
      <c r="L103" s="419">
        <v>0</v>
      </c>
      <c r="M103" s="419">
        <v>0</v>
      </c>
      <c r="N103" s="419">
        <v>0</v>
      </c>
      <c r="O103" s="419">
        <v>0</v>
      </c>
      <c r="P103" s="419">
        <v>0</v>
      </c>
      <c r="Q103" s="419">
        <v>0</v>
      </c>
      <c r="R103" s="419">
        <v>0</v>
      </c>
      <c r="S103" s="419">
        <v>0</v>
      </c>
      <c r="T103" s="419">
        <v>0</v>
      </c>
      <c r="U103" s="419">
        <v>0</v>
      </c>
      <c r="V103" s="419">
        <v>0</v>
      </c>
      <c r="W103" s="419">
        <v>0</v>
      </c>
      <c r="X103" s="419">
        <v>0</v>
      </c>
      <c r="Y103" s="419">
        <v>0</v>
      </c>
      <c r="Z103" s="419">
        <v>0</v>
      </c>
      <c r="AA103" s="419">
        <v>0</v>
      </c>
      <c r="AB103" s="419">
        <v>0</v>
      </c>
      <c r="AC103" s="419">
        <v>0</v>
      </c>
      <c r="AD103" s="419">
        <v>0</v>
      </c>
      <c r="AE103" s="419">
        <v>0</v>
      </c>
      <c r="AF103" s="419">
        <v>0</v>
      </c>
      <c r="AG103" s="419">
        <v>0</v>
      </c>
      <c r="AH103" s="419">
        <v>0</v>
      </c>
      <c r="AI103" s="419">
        <v>0</v>
      </c>
      <c r="AJ103" s="419">
        <v>0</v>
      </c>
    </row>
    <row r="104" spans="1:36">
      <c r="A104" s="419" t="s">
        <v>4198</v>
      </c>
      <c r="B104" s="419" t="s">
        <v>4199</v>
      </c>
      <c r="C104" s="419">
        <v>6.0287728999999998E-2</v>
      </c>
      <c r="D104" s="419">
        <v>0</v>
      </c>
      <c r="E104" s="419">
        <v>1.3630871000000001E-3</v>
      </c>
      <c r="F104" s="419">
        <v>8.3633397E-4</v>
      </c>
      <c r="G104" s="419">
        <v>1.1218679E-3</v>
      </c>
      <c r="H104" s="419">
        <v>1.2157303E-3</v>
      </c>
      <c r="I104" s="419">
        <v>1.2351453000000001E-3</v>
      </c>
      <c r="J104" s="419">
        <v>1.1839457000000001E-3</v>
      </c>
      <c r="K104" s="419">
        <v>1.8328759E-3</v>
      </c>
      <c r="L104" s="419">
        <v>1.8381005E-3</v>
      </c>
      <c r="M104" s="419">
        <v>4.6271787999999998E-4</v>
      </c>
      <c r="N104" s="419">
        <v>1.3260173E-3</v>
      </c>
      <c r="O104" s="419">
        <v>7.0850262000000004E-3</v>
      </c>
      <c r="P104" s="419">
        <v>3.7357312E-3</v>
      </c>
      <c r="Q104" s="419">
        <v>2.5924599E-3</v>
      </c>
      <c r="R104" s="419">
        <v>1.4624125999999999E-3</v>
      </c>
      <c r="S104" s="419">
        <v>4.1292466000000002E-4</v>
      </c>
      <c r="T104" s="419">
        <v>6.5671936999999998E-4</v>
      </c>
      <c r="U104" s="419">
        <v>3.4989203999999998E-4</v>
      </c>
      <c r="V104" s="419">
        <v>1.3735735000000001E-3</v>
      </c>
      <c r="W104" s="419">
        <v>7.3879570999999997E-4</v>
      </c>
      <c r="X104" s="419">
        <v>6.8652171999999999E-4</v>
      </c>
      <c r="Y104" s="419">
        <v>1.3852652E-3</v>
      </c>
      <c r="Z104" s="419">
        <v>8.8511706000000002E-4</v>
      </c>
      <c r="AA104" s="419">
        <v>1.3906768E-3</v>
      </c>
      <c r="AB104" s="419">
        <v>1.3908148E-3</v>
      </c>
      <c r="AC104" s="419">
        <v>2.2400896E-3</v>
      </c>
      <c r="AD104" s="419">
        <v>1.2381013E-3</v>
      </c>
      <c r="AE104" s="419">
        <v>1.5650502E-3</v>
      </c>
      <c r="AF104" s="419">
        <v>4.1292466000000002E-4</v>
      </c>
      <c r="AG104" s="419">
        <v>8.8511706000000002E-4</v>
      </c>
      <c r="AH104" s="419">
        <v>2.5614015000000002E-3</v>
      </c>
      <c r="AI104" s="419">
        <v>2.9287362E-3</v>
      </c>
      <c r="AJ104" s="419">
        <v>1.1894556000000001E-2</v>
      </c>
    </row>
    <row r="105" spans="1:36">
      <c r="A105" s="419" t="s">
        <v>4200</v>
      </c>
      <c r="B105" s="419" t="s">
        <v>4201</v>
      </c>
      <c r="C105" s="419">
        <v>2.8189683E-2</v>
      </c>
      <c r="D105" s="419">
        <v>0</v>
      </c>
      <c r="E105" s="419">
        <v>4.1798303000000001E-4</v>
      </c>
      <c r="F105" s="419">
        <v>3.3285215000000001E-4</v>
      </c>
      <c r="G105" s="419">
        <v>8.1473139000000003E-4</v>
      </c>
      <c r="H105" s="419">
        <v>5.6567208999999999E-4</v>
      </c>
      <c r="I105" s="419">
        <v>1.0647459000000001E-3</v>
      </c>
      <c r="J105" s="419">
        <v>7.9690239000000001E-4</v>
      </c>
      <c r="K105" s="419">
        <v>1.3227929E-3</v>
      </c>
      <c r="L105" s="419">
        <v>5.5165795999999995E-4</v>
      </c>
      <c r="M105" s="419">
        <v>1.4957767999999999E-4</v>
      </c>
      <c r="N105" s="419">
        <v>5.3116766E-4</v>
      </c>
      <c r="O105" s="419">
        <v>1.3636308000000001E-3</v>
      </c>
      <c r="P105" s="419">
        <v>1.0379415999999999E-3</v>
      </c>
      <c r="Q105" s="419">
        <v>6.5756001000000003E-4</v>
      </c>
      <c r="R105" s="419">
        <v>3.9141707999999997E-4</v>
      </c>
      <c r="S105" s="419">
        <v>1.5900813999999999E-4</v>
      </c>
      <c r="T105" s="419">
        <v>2.7447053000000002E-4</v>
      </c>
      <c r="U105" s="419">
        <v>2.6302668999999998E-4</v>
      </c>
      <c r="V105" s="419">
        <v>3.4423715E-4</v>
      </c>
      <c r="W105" s="419">
        <v>2.8796551000000002E-4</v>
      </c>
      <c r="X105" s="419">
        <v>3.0562892000000002E-4</v>
      </c>
      <c r="Y105" s="419">
        <v>6.2576408000000001E-4</v>
      </c>
      <c r="Z105" s="419">
        <v>2.9017079000000001E-4</v>
      </c>
      <c r="AA105" s="419">
        <v>5.2571165E-4</v>
      </c>
      <c r="AB105" s="419">
        <v>5.2070255999999999E-4</v>
      </c>
      <c r="AC105" s="419">
        <v>1.4439663E-3</v>
      </c>
      <c r="AD105" s="419">
        <v>5.4883025999999998E-4</v>
      </c>
      <c r="AE105" s="419">
        <v>2.8243711E-3</v>
      </c>
      <c r="AF105" s="419">
        <v>1.5900813999999999E-4</v>
      </c>
      <c r="AG105" s="419">
        <v>2.9017079000000001E-4</v>
      </c>
      <c r="AH105" s="419">
        <v>8.0359336999999995E-4</v>
      </c>
      <c r="AI105" s="419">
        <v>8.6733331000000003E-4</v>
      </c>
      <c r="AJ105" s="419">
        <v>7.6570915999999998E-3</v>
      </c>
    </row>
    <row r="106" spans="1:36">
      <c r="A106" s="419" t="s">
        <v>4202</v>
      </c>
      <c r="B106" s="419" t="s">
        <v>4199</v>
      </c>
      <c r="C106" s="419">
        <v>6.6636851999999996E-2</v>
      </c>
      <c r="D106" s="419">
        <v>0</v>
      </c>
      <c r="E106" s="419">
        <v>1.4488102000000001E-3</v>
      </c>
      <c r="F106" s="419">
        <v>9.0404668000000003E-4</v>
      </c>
      <c r="G106" s="419">
        <v>1.1997656E-3</v>
      </c>
      <c r="H106" s="419">
        <v>1.2975606000000001E-3</v>
      </c>
      <c r="I106" s="419">
        <v>1.3231642E-3</v>
      </c>
      <c r="J106" s="419">
        <v>1.3370547999999999E-3</v>
      </c>
      <c r="K106" s="419">
        <v>2.0830214000000001E-3</v>
      </c>
      <c r="L106" s="419">
        <v>1.9890238999999998E-3</v>
      </c>
      <c r="M106" s="419">
        <v>5.2065930999999998E-4</v>
      </c>
      <c r="N106" s="419">
        <v>1.3880728E-3</v>
      </c>
      <c r="O106" s="419">
        <v>7.2911249999999999E-3</v>
      </c>
      <c r="P106" s="419">
        <v>3.8955029000000002E-3</v>
      </c>
      <c r="Q106" s="419">
        <v>2.6897484999999998E-3</v>
      </c>
      <c r="R106" s="419">
        <v>1.5364809999999999E-3</v>
      </c>
      <c r="S106" s="419">
        <v>4.4455758000000001E-4</v>
      </c>
      <c r="T106" s="419">
        <v>7.1050461999999995E-4</v>
      </c>
      <c r="U106" s="419">
        <v>3.8479999000000001E-4</v>
      </c>
      <c r="V106" s="419">
        <v>1.5062933E-3</v>
      </c>
      <c r="W106" s="419">
        <v>8.0016037999999995E-4</v>
      </c>
      <c r="X106" s="419">
        <v>7.6104343E-4</v>
      </c>
      <c r="Y106" s="419">
        <v>1.6481131999999999E-3</v>
      </c>
      <c r="Z106" s="419">
        <v>9.6787643000000002E-4</v>
      </c>
      <c r="AA106" s="419">
        <v>1.5090324999999999E-3</v>
      </c>
      <c r="AB106" s="419">
        <v>1.5353381000000001E-3</v>
      </c>
      <c r="AC106" s="419">
        <v>2.3603359000000002E-3</v>
      </c>
      <c r="AD106" s="419">
        <v>1.3536827E-3</v>
      </c>
      <c r="AE106" s="419">
        <v>1.7019677E-3</v>
      </c>
      <c r="AF106" s="419">
        <v>4.4455758000000001E-4</v>
      </c>
      <c r="AG106" s="419">
        <v>9.6787643000000002E-4</v>
      </c>
      <c r="AH106" s="419">
        <v>2.7561911999999999E-3</v>
      </c>
      <c r="AI106" s="419">
        <v>3.1789014000000002E-3</v>
      </c>
      <c r="AJ106" s="419">
        <v>1.4701583000000001E-2</v>
      </c>
    </row>
    <row r="107" spans="1:36">
      <c r="A107" s="419" t="s">
        <v>4203</v>
      </c>
      <c r="B107" s="419" t="s">
        <v>4204</v>
      </c>
      <c r="C107" s="419">
        <v>8.5474826000000004E-2</v>
      </c>
      <c r="D107" s="419">
        <v>0</v>
      </c>
      <c r="E107" s="419">
        <v>1.2431097000000001E-3</v>
      </c>
      <c r="F107" s="419">
        <v>9.8197932999999999E-4</v>
      </c>
      <c r="G107" s="419">
        <v>2.1895801E-3</v>
      </c>
      <c r="H107" s="419">
        <v>1.4946094E-3</v>
      </c>
      <c r="I107" s="419">
        <v>2.9724857999999998E-3</v>
      </c>
      <c r="J107" s="419">
        <v>2.1448116000000001E-3</v>
      </c>
      <c r="K107" s="419">
        <v>3.5876821000000001E-3</v>
      </c>
      <c r="L107" s="419">
        <v>1.5825190999999999E-3</v>
      </c>
      <c r="M107" s="419">
        <v>4.094883E-4</v>
      </c>
      <c r="N107" s="419">
        <v>1.4497951000000001E-3</v>
      </c>
      <c r="O107" s="419">
        <v>3.3988026E-3</v>
      </c>
      <c r="P107" s="419">
        <v>3.3036380999999998E-3</v>
      </c>
      <c r="Q107" s="419">
        <v>1.8624348000000001E-3</v>
      </c>
      <c r="R107" s="419">
        <v>1.1307197000000001E-3</v>
      </c>
      <c r="S107" s="419">
        <v>5.4542158999999995E-4</v>
      </c>
      <c r="T107" s="419">
        <v>9.2667436999999998E-4</v>
      </c>
      <c r="U107" s="419">
        <v>7.6697660000000004E-4</v>
      </c>
      <c r="V107" s="419">
        <v>9.6348327000000001E-4</v>
      </c>
      <c r="W107" s="419">
        <v>9.3992494999999997E-4</v>
      </c>
      <c r="X107" s="419">
        <v>9.4801325000000002E-4</v>
      </c>
      <c r="Y107" s="419">
        <v>3.3247247000000001E-3</v>
      </c>
      <c r="Z107" s="419">
        <v>9.4380066000000003E-4</v>
      </c>
      <c r="AA107" s="419">
        <v>1.6648777E-3</v>
      </c>
      <c r="AB107" s="419">
        <v>1.6742644999999999E-3</v>
      </c>
      <c r="AC107" s="419">
        <v>4.0645370999999996E-3</v>
      </c>
      <c r="AD107" s="419">
        <v>1.5368373E-3</v>
      </c>
      <c r="AE107" s="419">
        <v>7.7914328000000003E-3</v>
      </c>
      <c r="AF107" s="419">
        <v>5.4542158999999995E-4</v>
      </c>
      <c r="AG107" s="419">
        <v>9.4380066000000003E-4</v>
      </c>
      <c r="AH107" s="419">
        <v>2.7616580000000002E-3</v>
      </c>
      <c r="AI107" s="419">
        <v>2.4567546E-3</v>
      </c>
      <c r="AJ107" s="419">
        <v>2.4924565999999999E-2</v>
      </c>
    </row>
    <row r="108" spans="1:36">
      <c r="A108" s="419" t="s">
        <v>4205</v>
      </c>
      <c r="B108" s="419" t="s">
        <v>4206</v>
      </c>
      <c r="C108" s="419">
        <v>8.8778331999999998E-4</v>
      </c>
      <c r="D108" s="419">
        <v>0</v>
      </c>
      <c r="E108" s="1385">
        <v>1.6883632E-5</v>
      </c>
      <c r="F108" s="1385">
        <v>9.7303843000000003E-6</v>
      </c>
      <c r="G108" s="1385">
        <v>6.1445311999999999E-6</v>
      </c>
      <c r="H108" s="1385">
        <v>7.3201381000000002E-6</v>
      </c>
      <c r="I108" s="1385">
        <v>7.0923017999999996E-6</v>
      </c>
      <c r="J108" s="1385">
        <v>9.9095752000000006E-6</v>
      </c>
      <c r="K108" s="1385">
        <v>1.1216142000000001E-5</v>
      </c>
      <c r="L108" s="1385">
        <v>1.4219736000000001E-5</v>
      </c>
      <c r="M108" s="1385">
        <v>1.2851474999999999E-6</v>
      </c>
      <c r="N108" s="1385">
        <v>8.2135713999999992E-6</v>
      </c>
      <c r="O108" s="1385">
        <v>1.1772047E-5</v>
      </c>
      <c r="P108" s="1385">
        <v>4.3017103E-5</v>
      </c>
      <c r="Q108" s="1385">
        <v>1.7352635E-5</v>
      </c>
      <c r="R108" s="1385">
        <v>1.2425723E-5</v>
      </c>
      <c r="S108" s="1385">
        <v>1.2625527E-5</v>
      </c>
      <c r="T108" s="1385">
        <v>2.0756976999999998E-5</v>
      </c>
      <c r="U108" s="1385">
        <v>6.2091960999999996E-6</v>
      </c>
      <c r="V108" s="1385">
        <v>9.0719506000000001E-6</v>
      </c>
      <c r="W108" s="1385">
        <v>1.9298853000000001E-5</v>
      </c>
      <c r="X108" s="1385">
        <v>1.2332323999999999E-5</v>
      </c>
      <c r="Y108" s="419">
        <v>1.7159592000000001E-4</v>
      </c>
      <c r="Z108" s="1385">
        <v>1.9293355000000001E-5</v>
      </c>
      <c r="AA108" s="1385">
        <v>3.1810824999999999E-5</v>
      </c>
      <c r="AB108" s="1385">
        <v>3.4873262E-5</v>
      </c>
      <c r="AC108" s="1385">
        <v>6.1159611000000003E-6</v>
      </c>
      <c r="AD108" s="1385">
        <v>1.0153052999999999E-5</v>
      </c>
      <c r="AE108" s="1385">
        <v>8.0388565999999995E-6</v>
      </c>
      <c r="AF108" s="1385">
        <v>1.2625527E-5</v>
      </c>
      <c r="AG108" s="1385">
        <v>1.9293355000000001E-5</v>
      </c>
      <c r="AH108" s="1385">
        <v>6.9467873999999995E-5</v>
      </c>
      <c r="AI108" s="1385">
        <v>7.2572523000000001E-6</v>
      </c>
      <c r="AJ108" s="419">
        <v>2.4038058000000001E-4</v>
      </c>
    </row>
    <row r="109" spans="1:36">
      <c r="A109" s="419" t="s">
        <v>4207</v>
      </c>
      <c r="B109" s="419" t="s">
        <v>4208</v>
      </c>
      <c r="C109" s="419">
        <v>0</v>
      </c>
      <c r="D109" s="419">
        <v>0</v>
      </c>
      <c r="E109" s="419">
        <v>0</v>
      </c>
      <c r="F109" s="419">
        <v>0</v>
      </c>
      <c r="G109" s="419">
        <v>0</v>
      </c>
      <c r="H109" s="419">
        <v>0</v>
      </c>
      <c r="I109" s="419">
        <v>0</v>
      </c>
      <c r="J109" s="419">
        <v>0</v>
      </c>
      <c r="K109" s="419">
        <v>0</v>
      </c>
      <c r="L109" s="419">
        <v>0</v>
      </c>
      <c r="M109" s="419">
        <v>0</v>
      </c>
      <c r="N109" s="419">
        <v>0</v>
      </c>
      <c r="O109" s="419">
        <v>0</v>
      </c>
      <c r="P109" s="419">
        <v>0</v>
      </c>
      <c r="Q109" s="419">
        <v>0</v>
      </c>
      <c r="R109" s="419">
        <v>0</v>
      </c>
      <c r="S109" s="419">
        <v>0</v>
      </c>
      <c r="T109" s="419">
        <v>0</v>
      </c>
      <c r="U109" s="419">
        <v>0</v>
      </c>
      <c r="V109" s="419">
        <v>0</v>
      </c>
      <c r="W109" s="419">
        <v>0</v>
      </c>
      <c r="X109" s="419">
        <v>0</v>
      </c>
      <c r="Y109" s="419">
        <v>0</v>
      </c>
      <c r="Z109" s="419">
        <v>0</v>
      </c>
      <c r="AA109" s="419">
        <v>0</v>
      </c>
      <c r="AB109" s="419">
        <v>0</v>
      </c>
      <c r="AC109" s="419">
        <v>0</v>
      </c>
      <c r="AD109" s="419">
        <v>0</v>
      </c>
      <c r="AE109" s="419">
        <v>0</v>
      </c>
      <c r="AF109" s="419">
        <v>0</v>
      </c>
      <c r="AG109" s="419">
        <v>0</v>
      </c>
      <c r="AH109" s="419">
        <v>0</v>
      </c>
      <c r="AI109" s="419">
        <v>0</v>
      </c>
      <c r="AJ109" s="419">
        <v>0</v>
      </c>
    </row>
    <row r="110" spans="1:36">
      <c r="A110" s="419" t="s">
        <v>4209</v>
      </c>
      <c r="B110" s="419" t="s">
        <v>4210</v>
      </c>
      <c r="C110" s="419">
        <v>24.474620999999999</v>
      </c>
      <c r="D110" s="419">
        <v>0</v>
      </c>
      <c r="E110" s="419">
        <v>0.39693708999999999</v>
      </c>
      <c r="F110" s="419">
        <v>0.28055819999999998</v>
      </c>
      <c r="G110" s="419">
        <v>1.7302739</v>
      </c>
      <c r="H110" s="419">
        <v>0.56894005000000003</v>
      </c>
      <c r="I110" s="419">
        <v>1.5101849000000001</v>
      </c>
      <c r="J110" s="419">
        <v>0.83633670000000004</v>
      </c>
      <c r="K110" s="419">
        <v>2.5202659000000001</v>
      </c>
      <c r="L110" s="419">
        <v>0.62049286999999997</v>
      </c>
      <c r="M110" s="419">
        <v>0.21279719</v>
      </c>
      <c r="N110" s="419">
        <v>0.51485592999999996</v>
      </c>
      <c r="O110" s="419">
        <v>1.8848701999999999</v>
      </c>
      <c r="P110" s="419">
        <v>0.71349183999999999</v>
      </c>
      <c r="Q110" s="419">
        <v>0.84503169</v>
      </c>
      <c r="R110" s="419">
        <v>0.52819227000000002</v>
      </c>
      <c r="S110" s="419">
        <v>0.15193810999999999</v>
      </c>
      <c r="T110" s="419">
        <v>0.25726566000000001</v>
      </c>
      <c r="U110" s="419">
        <v>0.21540287999999999</v>
      </c>
      <c r="V110" s="419">
        <v>0.58420353000000003</v>
      </c>
      <c r="W110" s="419">
        <v>0.29283137999999997</v>
      </c>
      <c r="X110" s="419">
        <v>0.29429490000000003</v>
      </c>
      <c r="Y110" s="419">
        <v>0.27289674000000003</v>
      </c>
      <c r="Z110" s="419">
        <v>0.35909892999999998</v>
      </c>
      <c r="AA110" s="419">
        <v>0.51386816000000002</v>
      </c>
      <c r="AB110" s="419">
        <v>0.49169180000000001</v>
      </c>
      <c r="AC110" s="419">
        <v>0.51012250000000003</v>
      </c>
      <c r="AD110" s="419">
        <v>0.66130966000000002</v>
      </c>
      <c r="AE110" s="419">
        <v>1.6478790999999999</v>
      </c>
      <c r="AF110" s="419">
        <v>0.15193810999999999</v>
      </c>
      <c r="AG110" s="419">
        <v>0.35909892999999998</v>
      </c>
      <c r="AH110" s="419">
        <v>0.83558827999999996</v>
      </c>
      <c r="AI110" s="419">
        <v>0.99184156999999995</v>
      </c>
      <c r="AJ110" s="419">
        <v>2.7201219000000001</v>
      </c>
    </row>
    <row r="111" spans="1:36">
      <c r="A111" s="419" t="s">
        <v>4211</v>
      </c>
      <c r="B111" s="419" t="s">
        <v>4210</v>
      </c>
      <c r="C111" s="419">
        <v>4.4405783000000002E-4</v>
      </c>
      <c r="D111" s="419">
        <v>0</v>
      </c>
      <c r="E111" s="1385">
        <v>4.8108075000000003E-6</v>
      </c>
      <c r="F111" s="1385">
        <v>4.2513072000000001E-6</v>
      </c>
      <c r="G111" s="1385">
        <v>4.5767031999999998E-5</v>
      </c>
      <c r="H111" s="1385">
        <v>1.0386278000000001E-5</v>
      </c>
      <c r="I111" s="1385">
        <v>3.7703717999999999E-5</v>
      </c>
      <c r="J111" s="1385">
        <v>1.9048596000000002E-5</v>
      </c>
      <c r="K111" s="1385">
        <v>6.6898411000000007E-5</v>
      </c>
      <c r="L111" s="1385">
        <v>8.9191330999999992E-6</v>
      </c>
      <c r="M111" s="1385">
        <v>3.8371011000000003E-6</v>
      </c>
      <c r="N111" s="1385">
        <v>9.3765648000000004E-6</v>
      </c>
      <c r="O111" s="1385">
        <v>1.5638767E-5</v>
      </c>
      <c r="P111" s="1385">
        <v>1.317389E-5</v>
      </c>
      <c r="Q111" s="1385">
        <v>1.0022923E-5</v>
      </c>
      <c r="R111" s="1385">
        <v>6.9766423999999999E-6</v>
      </c>
      <c r="S111" s="1385">
        <v>2.3526922E-6</v>
      </c>
      <c r="T111" s="1385">
        <v>4.2766699999999997E-6</v>
      </c>
      <c r="U111" s="1385">
        <v>4.5675606000000003E-6</v>
      </c>
      <c r="V111" s="1385">
        <v>6.6605052000000002E-6</v>
      </c>
      <c r="W111" s="1385">
        <v>4.6836476000000002E-6</v>
      </c>
      <c r="X111" s="1385">
        <v>5.7149028000000001E-6</v>
      </c>
      <c r="Y111" s="1385">
        <v>4.9497058000000001E-6</v>
      </c>
      <c r="Z111" s="1385">
        <v>4.8187347000000002E-6</v>
      </c>
      <c r="AA111" s="1385">
        <v>6.9660040999999999E-6</v>
      </c>
      <c r="AB111" s="1385">
        <v>6.8217648999999998E-6</v>
      </c>
      <c r="AC111" s="1385">
        <v>7.2187897999999997E-6</v>
      </c>
      <c r="AD111" s="1385">
        <v>1.4087363E-5</v>
      </c>
      <c r="AE111" s="1385">
        <v>4.2601688999999999E-5</v>
      </c>
      <c r="AF111" s="1385">
        <v>2.3526922E-6</v>
      </c>
      <c r="AG111" s="1385">
        <v>4.8187347000000002E-6</v>
      </c>
      <c r="AH111" s="1385">
        <v>1.1107050000000001E-5</v>
      </c>
      <c r="AI111" s="1385">
        <v>1.0133476E-5</v>
      </c>
      <c r="AJ111" s="1385">
        <v>4.3114682E-5</v>
      </c>
    </row>
    <row r="112" spans="1:36">
      <c r="A112" s="419" t="s">
        <v>4212</v>
      </c>
      <c r="B112" s="419" t="s">
        <v>4210</v>
      </c>
      <c r="C112" s="419">
        <v>1.3528605000000001E-2</v>
      </c>
      <c r="D112" s="419">
        <v>0</v>
      </c>
      <c r="E112" s="419">
        <v>1.9592161E-4</v>
      </c>
      <c r="F112" s="419">
        <v>1.4713287999999999E-4</v>
      </c>
      <c r="G112" s="419">
        <v>1.094357E-3</v>
      </c>
      <c r="H112" s="419">
        <v>3.1848016000000001E-4</v>
      </c>
      <c r="I112" s="419">
        <v>9.3894503000000005E-4</v>
      </c>
      <c r="J112" s="419">
        <v>5.0741817000000001E-4</v>
      </c>
      <c r="K112" s="419">
        <v>1.5999406E-3</v>
      </c>
      <c r="L112" s="419">
        <v>3.2005933000000002E-4</v>
      </c>
      <c r="M112" s="419">
        <v>1.1730898E-4</v>
      </c>
      <c r="N112" s="419">
        <v>2.8449802999999999E-4</v>
      </c>
      <c r="O112" s="419">
        <v>8.5605586999999998E-4</v>
      </c>
      <c r="P112" s="419">
        <v>3.9766157E-4</v>
      </c>
      <c r="Q112" s="419">
        <v>4.1358289999999999E-4</v>
      </c>
      <c r="R112" s="419">
        <v>2.6587884E-4</v>
      </c>
      <c r="S112" s="1385">
        <v>7.9839424000000006E-5</v>
      </c>
      <c r="T112" s="419">
        <v>1.3818114999999999E-4</v>
      </c>
      <c r="U112" s="419">
        <v>1.2497117000000001E-4</v>
      </c>
      <c r="V112" s="419">
        <v>2.8360469999999999E-4</v>
      </c>
      <c r="W112" s="419">
        <v>1.5573188E-4</v>
      </c>
      <c r="X112" s="419">
        <v>1.6654657E-4</v>
      </c>
      <c r="Y112" s="419">
        <v>1.5082718000000001E-4</v>
      </c>
      <c r="Z112" s="419">
        <v>1.8155746999999999E-4</v>
      </c>
      <c r="AA112" s="419">
        <v>2.605997E-4</v>
      </c>
      <c r="AB112" s="419">
        <v>2.5097249000000002E-4</v>
      </c>
      <c r="AC112" s="419">
        <v>2.6644825E-4</v>
      </c>
      <c r="AD112" s="419">
        <v>3.8675930000000002E-4</v>
      </c>
      <c r="AE112" s="419">
        <v>1.0274157000000001E-3</v>
      </c>
      <c r="AF112" s="1385">
        <v>7.9839424000000006E-5</v>
      </c>
      <c r="AG112" s="419">
        <v>1.8155746999999999E-4</v>
      </c>
      <c r="AH112" s="419">
        <v>4.2179880999999999E-4</v>
      </c>
      <c r="AI112" s="419">
        <v>4.7220414999999999E-4</v>
      </c>
      <c r="AJ112" s="419">
        <v>1.4425093999999999E-3</v>
      </c>
    </row>
    <row r="113" spans="1:36">
      <c r="A113" s="419" t="s">
        <v>4213</v>
      </c>
      <c r="B113" s="419" t="s">
        <v>4210</v>
      </c>
      <c r="C113" s="419">
        <v>9.5644235000000005E-3</v>
      </c>
      <c r="D113" s="419">
        <v>0</v>
      </c>
      <c r="E113" s="419">
        <v>1.0030958E-4</v>
      </c>
      <c r="F113" s="1385">
        <v>9.5159810000000004E-5</v>
      </c>
      <c r="G113" s="419">
        <v>7.9898017E-4</v>
      </c>
      <c r="H113" s="419">
        <v>2.5615304999999998E-4</v>
      </c>
      <c r="I113" s="419">
        <v>7.9013352999999999E-4</v>
      </c>
      <c r="J113" s="419">
        <v>4.8538660000000002E-4</v>
      </c>
      <c r="K113" s="419">
        <v>1.2663338E-3</v>
      </c>
      <c r="L113" s="419">
        <v>1.7991652E-4</v>
      </c>
      <c r="M113" s="1385">
        <v>7.3384878999999999E-5</v>
      </c>
      <c r="N113" s="419">
        <v>2.1993988E-4</v>
      </c>
      <c r="O113" s="419">
        <v>1.4237973E-4</v>
      </c>
      <c r="P113" s="419">
        <v>4.0662502000000001E-4</v>
      </c>
      <c r="Q113" s="419">
        <v>1.5592350000000001E-4</v>
      </c>
      <c r="R113" s="419">
        <v>1.1692302999999999E-4</v>
      </c>
      <c r="S113" s="1385">
        <v>4.7491429999999999E-5</v>
      </c>
      <c r="T113" s="1385">
        <v>8.4397155000000003E-5</v>
      </c>
      <c r="U113" s="1385">
        <v>8.2076322000000006E-5</v>
      </c>
      <c r="V113" s="1385">
        <v>9.0095332999999995E-5</v>
      </c>
      <c r="W113" s="1385">
        <v>9.9464745E-5</v>
      </c>
      <c r="X113" s="419">
        <v>1.2255885999999999E-4</v>
      </c>
      <c r="Y113" s="419">
        <v>1.0452004E-4</v>
      </c>
      <c r="Z113" s="1385">
        <v>8.3420529999999994E-5</v>
      </c>
      <c r="AA113" s="419">
        <v>1.2485746000000001E-4</v>
      </c>
      <c r="AB113" s="419">
        <v>1.2768470999999999E-4</v>
      </c>
      <c r="AC113" s="419">
        <v>3.1714083999999999E-4</v>
      </c>
      <c r="AD113" s="419">
        <v>2.7415151000000001E-4</v>
      </c>
      <c r="AE113" s="419">
        <v>6.9586579000000003E-4</v>
      </c>
      <c r="AF113" s="1385">
        <v>4.7491429999999999E-5</v>
      </c>
      <c r="AG113" s="1385">
        <v>8.3420529999999994E-5</v>
      </c>
      <c r="AH113" s="419">
        <v>2.0249956000000001E-4</v>
      </c>
      <c r="AI113" s="419">
        <v>1.8319718999999999E-4</v>
      </c>
      <c r="AJ113" s="419">
        <v>1.7065409E-3</v>
      </c>
    </row>
    <row r="114" spans="1:36">
      <c r="A114" s="419" t="s">
        <v>4214</v>
      </c>
      <c r="B114" s="419" t="s">
        <v>4210</v>
      </c>
      <c r="C114" s="419">
        <v>2.0911878000000002</v>
      </c>
      <c r="D114" s="419">
        <v>0</v>
      </c>
      <c r="E114" s="419">
        <v>1.7608129E-2</v>
      </c>
      <c r="F114" s="419">
        <v>1.7605477000000001E-2</v>
      </c>
      <c r="G114" s="419">
        <v>0.24141016000000001</v>
      </c>
      <c r="H114" s="419">
        <v>5.0083107000000002E-2</v>
      </c>
      <c r="I114" s="419">
        <v>0.20411433000000001</v>
      </c>
      <c r="J114" s="419">
        <v>0.10124724</v>
      </c>
      <c r="K114" s="419">
        <v>0.35373041999999999</v>
      </c>
      <c r="L114" s="419">
        <v>3.6975467999999997E-2</v>
      </c>
      <c r="M114" s="419">
        <v>1.7531340999999999E-2</v>
      </c>
      <c r="N114" s="419">
        <v>4.7496932999999998E-2</v>
      </c>
      <c r="O114" s="419">
        <v>3.3154551999999997E-2</v>
      </c>
      <c r="P114" s="419">
        <v>7.2830793000000005E-2</v>
      </c>
      <c r="Q114" s="419">
        <v>3.5502357999999998E-2</v>
      </c>
      <c r="R114" s="419">
        <v>2.6979895E-2</v>
      </c>
      <c r="S114" s="419">
        <v>1.0093721999999999E-2</v>
      </c>
      <c r="T114" s="419">
        <v>1.8926463000000001E-2</v>
      </c>
      <c r="U114" s="419">
        <v>2.1856737000000001E-2</v>
      </c>
      <c r="V114" s="419">
        <v>2.2338915000000001E-2</v>
      </c>
      <c r="W114" s="419">
        <v>2.0825237E-2</v>
      </c>
      <c r="X114" s="419">
        <v>2.7174344999999999E-2</v>
      </c>
      <c r="Y114" s="419">
        <v>2.2681448999999999E-2</v>
      </c>
      <c r="Z114" s="419">
        <v>1.8740765E-2</v>
      </c>
      <c r="AA114" s="419">
        <v>2.7095668E-2</v>
      </c>
      <c r="AB114" s="419">
        <v>2.6618378000000002E-2</v>
      </c>
      <c r="AC114" s="419">
        <v>2.5983441999999999E-2</v>
      </c>
      <c r="AD114" s="419">
        <v>6.8134748999999994E-2</v>
      </c>
      <c r="AE114" s="419">
        <v>0.21386242</v>
      </c>
      <c r="AF114" s="419">
        <v>1.0093721999999999E-2</v>
      </c>
      <c r="AG114" s="419">
        <v>1.8740765E-2</v>
      </c>
      <c r="AH114" s="419">
        <v>4.2708324999999998E-2</v>
      </c>
      <c r="AI114" s="419">
        <v>2.7808051E-2</v>
      </c>
      <c r="AJ114" s="419">
        <v>0.21123444999999999</v>
      </c>
    </row>
    <row r="115" spans="1:36">
      <c r="A115" s="419" t="s">
        <v>4215</v>
      </c>
      <c r="B115" s="419" t="s">
        <v>4216</v>
      </c>
      <c r="C115" s="419">
        <v>15.332546000000001</v>
      </c>
      <c r="D115" s="419">
        <v>0</v>
      </c>
      <c r="E115" s="419">
        <v>0.19654642999999999</v>
      </c>
      <c r="F115" s="419">
        <v>0.29139745</v>
      </c>
      <c r="G115" s="419">
        <v>7.3986640000000006E-2</v>
      </c>
      <c r="H115" s="419">
        <v>8.1171010000000002E-2</v>
      </c>
      <c r="I115" s="419">
        <v>8.9229271999999998E-2</v>
      </c>
      <c r="J115" s="419">
        <v>0.13190901999999999</v>
      </c>
      <c r="K115" s="419">
        <v>0.16914417000000001</v>
      </c>
      <c r="L115" s="419">
        <v>0.17596696000000001</v>
      </c>
      <c r="M115" s="419">
        <v>2.3269738000000002E-2</v>
      </c>
      <c r="N115" s="419">
        <v>8.6192149999999995E-2</v>
      </c>
      <c r="O115" s="419">
        <v>0.10283127</v>
      </c>
      <c r="P115" s="419">
        <v>0.24535153000000001</v>
      </c>
      <c r="Q115" s="419">
        <v>0.13963175</v>
      </c>
      <c r="R115" s="419">
        <v>9.9353803000000004E-2</v>
      </c>
      <c r="S115" s="419">
        <v>7.9352131000000006E-2</v>
      </c>
      <c r="T115" s="419">
        <v>0.1366019</v>
      </c>
      <c r="U115" s="419">
        <v>6.3565683999999997E-2</v>
      </c>
      <c r="V115" s="419">
        <v>7.7737114999999996E-2</v>
      </c>
      <c r="W115" s="419">
        <v>0.12991426</v>
      </c>
      <c r="X115" s="419">
        <v>0.10781143</v>
      </c>
      <c r="Y115" s="419">
        <v>0.80043807</v>
      </c>
      <c r="Z115" s="419">
        <v>0.14167395999999999</v>
      </c>
      <c r="AA115" s="419">
        <v>0.21468887</v>
      </c>
      <c r="AB115" s="419">
        <v>0.31637999999999999</v>
      </c>
      <c r="AC115" s="419">
        <v>2.3914575999999999</v>
      </c>
      <c r="AD115" s="419">
        <v>0.63756935999999997</v>
      </c>
      <c r="AE115" s="419">
        <v>0.16041960999999999</v>
      </c>
      <c r="AF115" s="419">
        <v>7.9352131000000006E-2</v>
      </c>
      <c r="AG115" s="419">
        <v>0.14167395999999999</v>
      </c>
      <c r="AH115" s="419">
        <v>0.43350775000000003</v>
      </c>
      <c r="AI115" s="419">
        <v>0.11933307999999999</v>
      </c>
      <c r="AJ115" s="419">
        <v>7.3950880000000003</v>
      </c>
    </row>
    <row r="116" spans="1:36">
      <c r="A116" s="419" t="s">
        <v>4217</v>
      </c>
      <c r="B116" s="419" t="s">
        <v>4218</v>
      </c>
      <c r="C116" s="419">
        <v>4.7500184000000001</v>
      </c>
      <c r="D116" s="419">
        <v>0</v>
      </c>
      <c r="E116" s="419">
        <v>2.1752931E-2</v>
      </c>
      <c r="F116" s="419">
        <v>2.1355096E-2</v>
      </c>
      <c r="G116" s="419">
        <v>0.18888041</v>
      </c>
      <c r="H116" s="419">
        <v>9.3461014999999995E-2</v>
      </c>
      <c r="I116" s="419">
        <v>0.52399320999999999</v>
      </c>
      <c r="J116" s="419">
        <v>0.34366764</v>
      </c>
      <c r="K116" s="419">
        <v>0.43964051999999998</v>
      </c>
      <c r="L116" s="419">
        <v>4.4170701E-2</v>
      </c>
      <c r="M116" s="419">
        <v>2.1087277000000001E-2</v>
      </c>
      <c r="N116" s="419">
        <v>5.6381924999999999E-2</v>
      </c>
      <c r="O116" s="419">
        <v>3.2121327999999998E-2</v>
      </c>
      <c r="P116" s="419">
        <v>7.7527415000000002E-2</v>
      </c>
      <c r="Q116" s="419">
        <v>4.0376339999999997E-2</v>
      </c>
      <c r="R116" s="419">
        <v>3.7243887000000003E-2</v>
      </c>
      <c r="S116" s="419">
        <v>1.5368786000000001E-2</v>
      </c>
      <c r="T116" s="419">
        <v>2.8385515E-2</v>
      </c>
      <c r="U116" s="419">
        <v>4.3299925000000003E-2</v>
      </c>
      <c r="V116" s="419">
        <v>2.6208102E-2</v>
      </c>
      <c r="W116" s="419">
        <v>3.1592463000000001E-2</v>
      </c>
      <c r="X116" s="419">
        <v>3.6713633000000002E-2</v>
      </c>
      <c r="Y116" s="419">
        <v>3.6842591000000001E-2</v>
      </c>
      <c r="Z116" s="419">
        <v>2.4293084999999999E-2</v>
      </c>
      <c r="AA116" s="419">
        <v>3.7363803000000001E-2</v>
      </c>
      <c r="AB116" s="419">
        <v>3.6067544999999999E-2</v>
      </c>
      <c r="AC116" s="419">
        <v>3.1136707999999999E-2</v>
      </c>
      <c r="AD116" s="419">
        <v>6.4697287000000006E-2</v>
      </c>
      <c r="AE116" s="419">
        <v>0.55680114000000003</v>
      </c>
      <c r="AF116" s="419">
        <v>1.5368786000000001E-2</v>
      </c>
      <c r="AG116" s="419">
        <v>2.4293084999999999E-2</v>
      </c>
      <c r="AH116" s="419">
        <v>5.1014062999999998E-2</v>
      </c>
      <c r="AI116" s="419">
        <v>3.3502399000000002E-2</v>
      </c>
      <c r="AJ116" s="419">
        <v>1.7154098</v>
      </c>
    </row>
    <row r="117" spans="1:36">
      <c r="A117" s="419" t="s">
        <v>4219</v>
      </c>
      <c r="B117" s="419" t="s">
        <v>4220</v>
      </c>
      <c r="C117" s="419">
        <v>2.7945783</v>
      </c>
      <c r="D117" s="419">
        <v>0</v>
      </c>
      <c r="E117" s="419">
        <v>5.5933897000000003E-2</v>
      </c>
      <c r="F117" s="419">
        <v>3.8621897000000002E-2</v>
      </c>
      <c r="G117" s="419">
        <v>4.8640862999999999E-2</v>
      </c>
      <c r="H117" s="419">
        <v>4.8742302000000001E-2</v>
      </c>
      <c r="I117" s="419">
        <v>4.8814084000000001E-2</v>
      </c>
      <c r="J117" s="419">
        <v>4.5521964999999998E-2</v>
      </c>
      <c r="K117" s="419">
        <v>7.7700310999999994E-2</v>
      </c>
      <c r="L117" s="419">
        <v>7.9048972999999995E-2</v>
      </c>
      <c r="M117" s="419">
        <v>2.3260652999999999E-2</v>
      </c>
      <c r="N117" s="419">
        <v>4.4323105000000002E-2</v>
      </c>
      <c r="O117" s="419">
        <v>0.2684223</v>
      </c>
      <c r="P117" s="419">
        <v>0.26333206999999997</v>
      </c>
      <c r="Q117" s="419">
        <v>0.1107432</v>
      </c>
      <c r="R117" s="419">
        <v>6.3979760999999996E-2</v>
      </c>
      <c r="S117" s="419">
        <v>1.8969963999999999E-2</v>
      </c>
      <c r="T117" s="419">
        <v>2.891821E-2</v>
      </c>
      <c r="U117" s="419">
        <v>1.5657457E-2</v>
      </c>
      <c r="V117" s="419">
        <v>7.5961808000000006E-2</v>
      </c>
      <c r="W117" s="419">
        <v>3.3090069999999999E-2</v>
      </c>
      <c r="X117" s="419">
        <v>3.3614586000000002E-2</v>
      </c>
      <c r="Y117" s="419">
        <v>3.3472521999999998E-2</v>
      </c>
      <c r="Z117" s="419">
        <v>4.4740264000000002E-2</v>
      </c>
      <c r="AA117" s="419">
        <v>6.9310732E-2</v>
      </c>
      <c r="AB117" s="419">
        <v>6.4357301000000006E-2</v>
      </c>
      <c r="AC117" s="419">
        <v>0.11406289</v>
      </c>
      <c r="AD117" s="419">
        <v>5.2588973999999997E-2</v>
      </c>
      <c r="AE117" s="419">
        <v>5.9329492999999997E-2</v>
      </c>
      <c r="AF117" s="419">
        <v>1.8969963999999999E-2</v>
      </c>
      <c r="AG117" s="419">
        <v>4.4740264000000002E-2</v>
      </c>
      <c r="AH117" s="419">
        <v>0.11121592</v>
      </c>
      <c r="AI117" s="419">
        <v>0.16896933</v>
      </c>
      <c r="AJ117" s="419">
        <v>0.58952320999999996</v>
      </c>
    </row>
    <row r="118" spans="1:36">
      <c r="A118" s="419" t="s">
        <v>4221</v>
      </c>
      <c r="B118" s="419" t="s">
        <v>449</v>
      </c>
      <c r="C118" s="419">
        <v>9.7022685000000006</v>
      </c>
      <c r="D118" s="419">
        <v>0</v>
      </c>
      <c r="E118" s="419">
        <v>1.7288824000000001E-2</v>
      </c>
      <c r="F118" s="419">
        <v>8.6486070000000009E-3</v>
      </c>
      <c r="G118" s="419">
        <v>1.3866896E-2</v>
      </c>
      <c r="H118" s="419">
        <v>1.1392958999999999E-2</v>
      </c>
      <c r="I118" s="419">
        <v>1.4758623E-2</v>
      </c>
      <c r="J118" s="419">
        <v>1.3022363E-2</v>
      </c>
      <c r="K118" s="419">
        <v>2.1683582999999999E-2</v>
      </c>
      <c r="L118" s="419">
        <v>8.6980281999999995</v>
      </c>
      <c r="M118" s="419">
        <v>4.3787744000000003E-3</v>
      </c>
      <c r="N118" s="419">
        <v>9.8086565000000004E-3</v>
      </c>
      <c r="O118" s="419">
        <v>3.4036903E-2</v>
      </c>
      <c r="P118" s="419">
        <v>3.7951998000000001E-2</v>
      </c>
      <c r="Q118" s="419">
        <v>1.7705644999999999E-2</v>
      </c>
      <c r="R118" s="419">
        <v>1.1048672000000001E-2</v>
      </c>
      <c r="S118" s="419">
        <v>5.3555542999999999E-3</v>
      </c>
      <c r="T118" s="419">
        <v>8.4109463999999991E-3</v>
      </c>
      <c r="U118" s="419">
        <v>3.482522E-3</v>
      </c>
      <c r="V118" s="419">
        <v>1.1106939999999999E-2</v>
      </c>
      <c r="W118" s="419">
        <v>9.2011100999999998E-3</v>
      </c>
      <c r="X118" s="419">
        <v>8.2999406999999994E-3</v>
      </c>
      <c r="Y118" s="419">
        <v>4.4329649999999998E-2</v>
      </c>
      <c r="Z118" s="419">
        <v>9.4477775000000007E-3</v>
      </c>
      <c r="AA118" s="419">
        <v>1.528299E-2</v>
      </c>
      <c r="AB118" s="419">
        <v>1.9056690000000001E-2</v>
      </c>
      <c r="AC118" s="419">
        <v>3.0330053999999999E-2</v>
      </c>
      <c r="AD118" s="419">
        <v>1.4031767000000001E-2</v>
      </c>
      <c r="AE118" s="419">
        <v>1.3327912000000001E-2</v>
      </c>
      <c r="AF118" s="419">
        <v>5.3555542999999999E-3</v>
      </c>
      <c r="AG118" s="419">
        <v>9.4477775000000007E-3</v>
      </c>
      <c r="AH118" s="419">
        <v>2.7923934000000001E-2</v>
      </c>
      <c r="AI118" s="419">
        <v>3.1927671999999997E-2</v>
      </c>
      <c r="AJ118" s="419">
        <v>0.52232900999999998</v>
      </c>
    </row>
    <row r="140" spans="1:2">
      <c r="A140" s="419" t="s">
        <v>4017</v>
      </c>
      <c r="B140" s="419" t="s">
        <v>4018</v>
      </c>
    </row>
    <row r="141" spans="1:2">
      <c r="A141" s="419" t="s">
        <v>4020</v>
      </c>
      <c r="B141" s="419" t="s">
        <v>4021</v>
      </c>
    </row>
    <row r="142" spans="1:2">
      <c r="A142" s="419" t="s">
        <v>4023</v>
      </c>
      <c r="B142" s="419" t="s">
        <v>4222</v>
      </c>
    </row>
    <row r="143" spans="1:2">
      <c r="A143" s="419" t="s">
        <v>4026</v>
      </c>
      <c r="B143" s="419" t="s">
        <v>4223</v>
      </c>
    </row>
    <row r="144" spans="1:2">
      <c r="A144" s="419" t="s">
        <v>4029</v>
      </c>
      <c r="B144" s="419" t="s">
        <v>4030</v>
      </c>
    </row>
    <row r="145" spans="1:36">
      <c r="A145" s="419" t="s">
        <v>4032</v>
      </c>
      <c r="B145" s="419" t="s">
        <v>4033</v>
      </c>
    </row>
    <row r="146" spans="1:36">
      <c r="A146" s="419" t="s">
        <v>4035</v>
      </c>
      <c r="B146" s="419" t="s">
        <v>127</v>
      </c>
    </row>
    <row r="147" spans="1:36">
      <c r="A147" s="419" t="s">
        <v>4037</v>
      </c>
      <c r="B147" s="419" t="s">
        <v>127</v>
      </c>
    </row>
    <row r="148" spans="1:36">
      <c r="A148" s="419" t="s">
        <v>4039</v>
      </c>
      <c r="B148" s="419" t="s">
        <v>4040</v>
      </c>
    </row>
    <row r="149" spans="1:36">
      <c r="A149" s="419" t="s">
        <v>4042</v>
      </c>
      <c r="B149" s="419" t="s">
        <v>4043</v>
      </c>
    </row>
    <row r="151" spans="1:36">
      <c r="A151" s="419" t="s">
        <v>4040</v>
      </c>
      <c r="B151" s="419" t="s">
        <v>4049</v>
      </c>
      <c r="C151" s="419" t="s">
        <v>87</v>
      </c>
      <c r="D151" s="419" t="s">
        <v>4224</v>
      </c>
      <c r="E151" s="419" t="s">
        <v>4225</v>
      </c>
      <c r="F151" s="419" t="s">
        <v>4226</v>
      </c>
      <c r="G151" s="419" t="s">
        <v>4227</v>
      </c>
      <c r="H151" s="419" t="s">
        <v>4228</v>
      </c>
      <c r="I151" s="419" t="s">
        <v>4229</v>
      </c>
      <c r="J151" s="419" t="s">
        <v>4230</v>
      </c>
      <c r="K151" s="419" t="s">
        <v>4231</v>
      </c>
      <c r="L151" s="419" t="s">
        <v>4232</v>
      </c>
      <c r="M151" s="419" t="s">
        <v>4233</v>
      </c>
      <c r="N151" s="419" t="s">
        <v>4234</v>
      </c>
      <c r="O151" s="419" t="s">
        <v>4235</v>
      </c>
      <c r="P151" s="419" t="s">
        <v>4236</v>
      </c>
      <c r="Q151" s="419" t="s">
        <v>4237</v>
      </c>
      <c r="R151" s="419" t="s">
        <v>4238</v>
      </c>
      <c r="S151" s="419" t="s">
        <v>4239</v>
      </c>
      <c r="T151" s="419" t="s">
        <v>4240</v>
      </c>
      <c r="U151" s="419" t="s">
        <v>4241</v>
      </c>
      <c r="V151" s="419" t="s">
        <v>4242</v>
      </c>
      <c r="W151" s="419" t="s">
        <v>4243</v>
      </c>
      <c r="X151" s="419" t="s">
        <v>4244</v>
      </c>
      <c r="Y151" s="419" t="s">
        <v>4245</v>
      </c>
      <c r="Z151" s="419" t="s">
        <v>4246</v>
      </c>
      <c r="AA151" s="419" t="s">
        <v>4247</v>
      </c>
      <c r="AB151" s="419" t="s">
        <v>4248</v>
      </c>
      <c r="AC151" s="419" t="s">
        <v>4249</v>
      </c>
      <c r="AD151" s="419" t="s">
        <v>4250</v>
      </c>
      <c r="AE151" s="419" t="s">
        <v>4251</v>
      </c>
      <c r="AF151" s="419" t="s">
        <v>4239</v>
      </c>
      <c r="AG151" s="419" t="s">
        <v>4246</v>
      </c>
      <c r="AH151" s="419" t="s">
        <v>4252</v>
      </c>
      <c r="AI151" s="419" t="s">
        <v>4253</v>
      </c>
      <c r="AJ151" s="419" t="s">
        <v>4254</v>
      </c>
    </row>
    <row r="152" spans="1:36">
      <c r="A152" s="419" t="s">
        <v>4193</v>
      </c>
      <c r="B152" s="419" t="s">
        <v>4058</v>
      </c>
      <c r="C152" s="419">
        <v>17.092580000000002</v>
      </c>
      <c r="D152" s="419">
        <v>0</v>
      </c>
      <c r="E152" s="419">
        <v>0.32957987</v>
      </c>
      <c r="F152" s="419">
        <v>0.23610624999999999</v>
      </c>
      <c r="G152" s="419">
        <v>0.43461512000000002</v>
      </c>
      <c r="H152" s="419">
        <v>0.38812162</v>
      </c>
      <c r="I152" s="419">
        <v>0.47671433000000002</v>
      </c>
      <c r="J152" s="419">
        <v>0.43240796999999997</v>
      </c>
      <c r="K152" s="419">
        <v>0.69347579999999998</v>
      </c>
      <c r="L152" s="419">
        <v>0.49813173999999999</v>
      </c>
      <c r="M152" s="419">
        <v>0.13468558</v>
      </c>
      <c r="N152" s="419">
        <v>0.32149306999999999</v>
      </c>
      <c r="O152" s="419">
        <v>1.1563228000000001</v>
      </c>
      <c r="P152" s="419">
        <v>1.3204619</v>
      </c>
      <c r="Q152" s="419">
        <v>0.54710369999999997</v>
      </c>
      <c r="R152" s="419">
        <v>0.33101680999999999</v>
      </c>
      <c r="S152" s="419">
        <v>0.12407724000000001</v>
      </c>
      <c r="T152" s="419">
        <v>0.18015993</v>
      </c>
      <c r="U152" s="419">
        <v>0.10019122</v>
      </c>
      <c r="V152" s="419">
        <v>0.34921655000000001</v>
      </c>
      <c r="W152" s="419">
        <v>0.21332419999999999</v>
      </c>
      <c r="X152" s="419">
        <v>0.23149718999999999</v>
      </c>
      <c r="Y152" s="419">
        <v>0.35330566000000002</v>
      </c>
      <c r="Z152" s="419">
        <v>0.24271677999999999</v>
      </c>
      <c r="AA152" s="419">
        <v>0.39383898000000001</v>
      </c>
      <c r="AB152" s="419">
        <v>0.37482599999999999</v>
      </c>
      <c r="AC152" s="419">
        <v>0.79224786999999997</v>
      </c>
      <c r="AD152" s="419">
        <v>0.35438323999999999</v>
      </c>
      <c r="AE152" s="419">
        <v>0.47834154000000001</v>
      </c>
      <c r="AF152" s="419">
        <v>0.12407724000000001</v>
      </c>
      <c r="AG152" s="419">
        <v>0.24271677999999999</v>
      </c>
      <c r="AH152" s="419">
        <v>0.63845717000000002</v>
      </c>
      <c r="AI152" s="419">
        <v>0.97972809999999999</v>
      </c>
      <c r="AJ152" s="419">
        <v>3.6192375000000001</v>
      </c>
    </row>
    <row r="153" spans="1:36">
      <c r="A153" s="419" t="s">
        <v>4194</v>
      </c>
      <c r="B153" s="419" t="s">
        <v>4195</v>
      </c>
      <c r="C153" s="1385">
        <v>1.2759258E-5</v>
      </c>
      <c r="D153" s="419">
        <v>0</v>
      </c>
      <c r="E153" s="1385">
        <v>2.7067354E-7</v>
      </c>
      <c r="F153" s="1385">
        <v>1.3296779999999999E-7</v>
      </c>
      <c r="G153" s="1385">
        <v>1.2820765000000001E-7</v>
      </c>
      <c r="H153" s="1385">
        <v>1.4844562E-7</v>
      </c>
      <c r="I153" s="1385">
        <v>1.5021706999999999E-7</v>
      </c>
      <c r="J153" s="1385">
        <v>1.8943138E-7</v>
      </c>
      <c r="K153" s="1385">
        <v>2.1747232E-7</v>
      </c>
      <c r="L153" s="1385">
        <v>2.1089191E-7</v>
      </c>
      <c r="M153" s="1385">
        <v>3.3096288999999997E-8</v>
      </c>
      <c r="N153" s="1385">
        <v>1.3445746E-7</v>
      </c>
      <c r="O153" s="1385">
        <v>3.4240447000000001E-7</v>
      </c>
      <c r="P153" s="1385">
        <v>8.3322396000000001E-7</v>
      </c>
      <c r="Q153" s="1385">
        <v>2.6809779999999999E-7</v>
      </c>
      <c r="R153" s="1385">
        <v>1.8005705E-7</v>
      </c>
      <c r="S153" s="1385">
        <v>1.4496690000000001E-7</v>
      </c>
      <c r="T153" s="1385">
        <v>2.2872622999999999E-7</v>
      </c>
      <c r="U153" s="1385">
        <v>7.4602177000000002E-8</v>
      </c>
      <c r="V153" s="1385">
        <v>1.4274919999999999E-7</v>
      </c>
      <c r="W153" s="1385">
        <v>2.2816676999999999E-7</v>
      </c>
      <c r="X153" s="1385">
        <v>1.4919927999999999E-7</v>
      </c>
      <c r="Y153" s="1385">
        <v>1.7075296999999999E-6</v>
      </c>
      <c r="Z153" s="1385">
        <v>2.2910278000000001E-7</v>
      </c>
      <c r="AA153" s="1385">
        <v>3.6711633999999998E-7</v>
      </c>
      <c r="AB153" s="1385">
        <v>4.0176554E-7</v>
      </c>
      <c r="AC153" s="1385">
        <v>1.7542366999999999E-7</v>
      </c>
      <c r="AD153" s="1385">
        <v>1.7986956E-7</v>
      </c>
      <c r="AE153" s="1385">
        <v>1.3571789E-7</v>
      </c>
      <c r="AF153" s="1385">
        <v>1.4496690000000001E-7</v>
      </c>
      <c r="AG153" s="1385">
        <v>2.2910278000000001E-7</v>
      </c>
      <c r="AH153" s="1385">
        <v>7.7282618000000003E-7</v>
      </c>
      <c r="AI153" s="1385">
        <v>1.8433866999999999E-7</v>
      </c>
      <c r="AJ153" s="1385">
        <v>4.0234433000000003E-6</v>
      </c>
    </row>
    <row r="154" spans="1:36">
      <c r="A154" s="419" t="s">
        <v>4196</v>
      </c>
      <c r="B154" s="419" t="s">
        <v>4197</v>
      </c>
      <c r="C154" s="419">
        <v>0</v>
      </c>
      <c r="D154" s="419">
        <v>0</v>
      </c>
      <c r="E154" s="419">
        <v>0</v>
      </c>
      <c r="F154" s="419">
        <v>0</v>
      </c>
      <c r="G154" s="419">
        <v>0</v>
      </c>
      <c r="H154" s="419">
        <v>0</v>
      </c>
      <c r="I154" s="419">
        <v>0</v>
      </c>
      <c r="J154" s="419">
        <v>0</v>
      </c>
      <c r="K154" s="419">
        <v>0</v>
      </c>
      <c r="L154" s="419">
        <v>0</v>
      </c>
      <c r="M154" s="419">
        <v>0</v>
      </c>
      <c r="N154" s="419">
        <v>0</v>
      </c>
      <c r="O154" s="419">
        <v>0</v>
      </c>
      <c r="P154" s="419">
        <v>0</v>
      </c>
      <c r="Q154" s="419">
        <v>0</v>
      </c>
      <c r="R154" s="419">
        <v>0</v>
      </c>
      <c r="S154" s="419">
        <v>0</v>
      </c>
      <c r="T154" s="419">
        <v>0</v>
      </c>
      <c r="U154" s="419">
        <v>0</v>
      </c>
      <c r="V154" s="419">
        <v>0</v>
      </c>
      <c r="W154" s="419">
        <v>0</v>
      </c>
      <c r="X154" s="419">
        <v>0</v>
      </c>
      <c r="Y154" s="419">
        <v>0</v>
      </c>
      <c r="Z154" s="419">
        <v>0</v>
      </c>
      <c r="AA154" s="419">
        <v>0</v>
      </c>
      <c r="AB154" s="419">
        <v>0</v>
      </c>
      <c r="AC154" s="419">
        <v>0</v>
      </c>
      <c r="AD154" s="419">
        <v>0</v>
      </c>
      <c r="AE154" s="419">
        <v>0</v>
      </c>
      <c r="AF154" s="419">
        <v>0</v>
      </c>
      <c r="AG154" s="419">
        <v>0</v>
      </c>
      <c r="AH154" s="419">
        <v>0</v>
      </c>
      <c r="AI154" s="419">
        <v>0</v>
      </c>
      <c r="AJ154" s="419">
        <v>0</v>
      </c>
    </row>
    <row r="155" spans="1:36">
      <c r="A155" s="419" t="s">
        <v>4198</v>
      </c>
      <c r="B155" s="419" t="s">
        <v>4199</v>
      </c>
      <c r="C155" s="419">
        <v>6.0287728999999998E-2</v>
      </c>
      <c r="D155" s="419">
        <v>0</v>
      </c>
      <c r="E155" s="419">
        <v>1.3630871000000001E-3</v>
      </c>
      <c r="F155" s="419">
        <v>8.3633397E-4</v>
      </c>
      <c r="G155" s="419">
        <v>1.1218679E-3</v>
      </c>
      <c r="H155" s="419">
        <v>1.2157303E-3</v>
      </c>
      <c r="I155" s="419">
        <v>1.2351453000000001E-3</v>
      </c>
      <c r="J155" s="419">
        <v>1.1839457000000001E-3</v>
      </c>
      <c r="K155" s="419">
        <v>1.8328759E-3</v>
      </c>
      <c r="L155" s="419">
        <v>1.8381005E-3</v>
      </c>
      <c r="M155" s="419">
        <v>4.6271787999999998E-4</v>
      </c>
      <c r="N155" s="419">
        <v>1.3260173E-3</v>
      </c>
      <c r="O155" s="419">
        <v>7.0850262000000004E-3</v>
      </c>
      <c r="P155" s="419">
        <v>3.7357312E-3</v>
      </c>
      <c r="Q155" s="419">
        <v>2.5924599E-3</v>
      </c>
      <c r="R155" s="419">
        <v>1.4624125999999999E-3</v>
      </c>
      <c r="S155" s="419">
        <v>4.1292466000000002E-4</v>
      </c>
      <c r="T155" s="419">
        <v>6.5671936999999998E-4</v>
      </c>
      <c r="U155" s="419">
        <v>3.4989203999999998E-4</v>
      </c>
      <c r="V155" s="419">
        <v>1.3735735000000001E-3</v>
      </c>
      <c r="W155" s="419">
        <v>7.3879570999999997E-4</v>
      </c>
      <c r="X155" s="419">
        <v>6.8652171999999999E-4</v>
      </c>
      <c r="Y155" s="419">
        <v>1.3852652E-3</v>
      </c>
      <c r="Z155" s="419">
        <v>8.8511706000000002E-4</v>
      </c>
      <c r="AA155" s="419">
        <v>1.3906768E-3</v>
      </c>
      <c r="AB155" s="419">
        <v>1.3908148E-3</v>
      </c>
      <c r="AC155" s="419">
        <v>2.2400896E-3</v>
      </c>
      <c r="AD155" s="419">
        <v>1.2381013E-3</v>
      </c>
      <c r="AE155" s="419">
        <v>1.5650502E-3</v>
      </c>
      <c r="AF155" s="419">
        <v>4.1292466000000002E-4</v>
      </c>
      <c r="AG155" s="419">
        <v>8.8511706000000002E-4</v>
      </c>
      <c r="AH155" s="419">
        <v>2.5614015000000002E-3</v>
      </c>
      <c r="AI155" s="419">
        <v>2.9287362E-3</v>
      </c>
      <c r="AJ155" s="419">
        <v>1.1894556000000001E-2</v>
      </c>
    </row>
    <row r="156" spans="1:36">
      <c r="A156" s="419" t="s">
        <v>4200</v>
      </c>
      <c r="B156" s="419" t="s">
        <v>4201</v>
      </c>
      <c r="C156" s="419">
        <v>2.8189683E-2</v>
      </c>
      <c r="D156" s="419">
        <v>0</v>
      </c>
      <c r="E156" s="419">
        <v>4.1798303000000001E-4</v>
      </c>
      <c r="F156" s="419">
        <v>3.3285215000000001E-4</v>
      </c>
      <c r="G156" s="419">
        <v>8.1473139000000003E-4</v>
      </c>
      <c r="H156" s="419">
        <v>5.6567208999999999E-4</v>
      </c>
      <c r="I156" s="419">
        <v>1.0647459000000001E-3</v>
      </c>
      <c r="J156" s="419">
        <v>7.9690239000000001E-4</v>
      </c>
      <c r="K156" s="419">
        <v>1.3227929E-3</v>
      </c>
      <c r="L156" s="419">
        <v>5.5165795999999995E-4</v>
      </c>
      <c r="M156" s="419">
        <v>1.4957767999999999E-4</v>
      </c>
      <c r="N156" s="419">
        <v>5.3116766E-4</v>
      </c>
      <c r="O156" s="419">
        <v>1.3636308000000001E-3</v>
      </c>
      <c r="P156" s="419">
        <v>1.0379415999999999E-3</v>
      </c>
      <c r="Q156" s="419">
        <v>6.5756001000000003E-4</v>
      </c>
      <c r="R156" s="419">
        <v>3.9141707999999997E-4</v>
      </c>
      <c r="S156" s="419">
        <v>1.5900813999999999E-4</v>
      </c>
      <c r="T156" s="419">
        <v>2.7447053000000002E-4</v>
      </c>
      <c r="U156" s="419">
        <v>2.6302668999999998E-4</v>
      </c>
      <c r="V156" s="419">
        <v>3.4423715E-4</v>
      </c>
      <c r="W156" s="419">
        <v>2.8796551000000002E-4</v>
      </c>
      <c r="X156" s="419">
        <v>3.0562892000000002E-4</v>
      </c>
      <c r="Y156" s="419">
        <v>6.2576408000000001E-4</v>
      </c>
      <c r="Z156" s="419">
        <v>2.9017079000000001E-4</v>
      </c>
      <c r="AA156" s="419">
        <v>5.2571165E-4</v>
      </c>
      <c r="AB156" s="419">
        <v>5.2070255999999999E-4</v>
      </c>
      <c r="AC156" s="419">
        <v>1.4439663E-3</v>
      </c>
      <c r="AD156" s="419">
        <v>5.4883025999999998E-4</v>
      </c>
      <c r="AE156" s="419">
        <v>2.8243711E-3</v>
      </c>
      <c r="AF156" s="419">
        <v>1.5900813999999999E-4</v>
      </c>
      <c r="AG156" s="419">
        <v>2.9017079000000001E-4</v>
      </c>
      <c r="AH156" s="419">
        <v>8.0359336999999995E-4</v>
      </c>
      <c r="AI156" s="419">
        <v>8.6733331000000003E-4</v>
      </c>
      <c r="AJ156" s="419">
        <v>7.6570915999999998E-3</v>
      </c>
    </row>
    <row r="157" spans="1:36">
      <c r="A157" s="419" t="s">
        <v>4202</v>
      </c>
      <c r="B157" s="419" t="s">
        <v>4199</v>
      </c>
      <c r="C157" s="419">
        <v>6.6636851999999996E-2</v>
      </c>
      <c r="D157" s="419">
        <v>0</v>
      </c>
      <c r="E157" s="419">
        <v>1.4488102000000001E-3</v>
      </c>
      <c r="F157" s="419">
        <v>9.0404668000000003E-4</v>
      </c>
      <c r="G157" s="419">
        <v>1.1997656E-3</v>
      </c>
      <c r="H157" s="419">
        <v>1.2975606000000001E-3</v>
      </c>
      <c r="I157" s="419">
        <v>1.3231642E-3</v>
      </c>
      <c r="J157" s="419">
        <v>1.3370547999999999E-3</v>
      </c>
      <c r="K157" s="419">
        <v>2.0830214000000001E-3</v>
      </c>
      <c r="L157" s="419">
        <v>1.9890238999999998E-3</v>
      </c>
      <c r="M157" s="419">
        <v>5.2065930999999998E-4</v>
      </c>
      <c r="N157" s="419">
        <v>1.3880728E-3</v>
      </c>
      <c r="O157" s="419">
        <v>7.2911249999999999E-3</v>
      </c>
      <c r="P157" s="419">
        <v>3.8955029000000002E-3</v>
      </c>
      <c r="Q157" s="419">
        <v>2.6897484999999998E-3</v>
      </c>
      <c r="R157" s="419">
        <v>1.5364809999999999E-3</v>
      </c>
      <c r="S157" s="419">
        <v>4.4455758000000001E-4</v>
      </c>
      <c r="T157" s="419">
        <v>7.1050461999999995E-4</v>
      </c>
      <c r="U157" s="419">
        <v>3.8479999000000001E-4</v>
      </c>
      <c r="V157" s="419">
        <v>1.5062933E-3</v>
      </c>
      <c r="W157" s="419">
        <v>8.0016037999999995E-4</v>
      </c>
      <c r="X157" s="419">
        <v>7.6104343E-4</v>
      </c>
      <c r="Y157" s="419">
        <v>1.6481131999999999E-3</v>
      </c>
      <c r="Z157" s="419">
        <v>9.6787643000000002E-4</v>
      </c>
      <c r="AA157" s="419">
        <v>1.5090324999999999E-3</v>
      </c>
      <c r="AB157" s="419">
        <v>1.5353381000000001E-3</v>
      </c>
      <c r="AC157" s="419">
        <v>2.3603359000000002E-3</v>
      </c>
      <c r="AD157" s="419">
        <v>1.3536827E-3</v>
      </c>
      <c r="AE157" s="419">
        <v>1.7019677E-3</v>
      </c>
      <c r="AF157" s="419">
        <v>4.4455758000000001E-4</v>
      </c>
      <c r="AG157" s="419">
        <v>9.6787643000000002E-4</v>
      </c>
      <c r="AH157" s="419">
        <v>2.7561911999999999E-3</v>
      </c>
      <c r="AI157" s="419">
        <v>3.1789014000000002E-3</v>
      </c>
      <c r="AJ157" s="419">
        <v>1.4701583000000001E-2</v>
      </c>
    </row>
    <row r="158" spans="1:36">
      <c r="A158" s="419" t="s">
        <v>4203</v>
      </c>
      <c r="B158" s="419" t="s">
        <v>4204</v>
      </c>
      <c r="C158" s="419">
        <v>8.5474826000000004E-2</v>
      </c>
      <c r="D158" s="419">
        <v>0</v>
      </c>
      <c r="E158" s="419">
        <v>1.2431097000000001E-3</v>
      </c>
      <c r="F158" s="419">
        <v>9.8197932999999999E-4</v>
      </c>
      <c r="G158" s="419">
        <v>2.1895801E-3</v>
      </c>
      <c r="H158" s="419">
        <v>1.4946094E-3</v>
      </c>
      <c r="I158" s="419">
        <v>2.9724857999999998E-3</v>
      </c>
      <c r="J158" s="419">
        <v>2.1448116000000001E-3</v>
      </c>
      <c r="K158" s="419">
        <v>3.5876821000000001E-3</v>
      </c>
      <c r="L158" s="419">
        <v>1.5825190999999999E-3</v>
      </c>
      <c r="M158" s="419">
        <v>4.094883E-4</v>
      </c>
      <c r="N158" s="419">
        <v>1.4497951000000001E-3</v>
      </c>
      <c r="O158" s="419">
        <v>3.3988026E-3</v>
      </c>
      <c r="P158" s="419">
        <v>3.3036380999999998E-3</v>
      </c>
      <c r="Q158" s="419">
        <v>1.8624348000000001E-3</v>
      </c>
      <c r="R158" s="419">
        <v>1.1307197000000001E-3</v>
      </c>
      <c r="S158" s="419">
        <v>5.4542158999999995E-4</v>
      </c>
      <c r="T158" s="419">
        <v>9.2667436999999998E-4</v>
      </c>
      <c r="U158" s="419">
        <v>7.6697660000000004E-4</v>
      </c>
      <c r="V158" s="419">
        <v>9.6348327000000001E-4</v>
      </c>
      <c r="W158" s="419">
        <v>9.3992494999999997E-4</v>
      </c>
      <c r="X158" s="419">
        <v>9.4801325000000002E-4</v>
      </c>
      <c r="Y158" s="419">
        <v>3.3247247000000001E-3</v>
      </c>
      <c r="Z158" s="419">
        <v>9.4380066000000003E-4</v>
      </c>
      <c r="AA158" s="419">
        <v>1.6648777E-3</v>
      </c>
      <c r="AB158" s="419">
        <v>1.6742644999999999E-3</v>
      </c>
      <c r="AC158" s="419">
        <v>4.0645370999999996E-3</v>
      </c>
      <c r="AD158" s="419">
        <v>1.5368373E-3</v>
      </c>
      <c r="AE158" s="419">
        <v>7.7914328000000003E-3</v>
      </c>
      <c r="AF158" s="419">
        <v>5.4542158999999995E-4</v>
      </c>
      <c r="AG158" s="419">
        <v>9.4380066000000003E-4</v>
      </c>
      <c r="AH158" s="419">
        <v>2.7616580000000002E-3</v>
      </c>
      <c r="AI158" s="419">
        <v>2.4567546E-3</v>
      </c>
      <c r="AJ158" s="419">
        <v>2.4924565999999999E-2</v>
      </c>
    </row>
    <row r="159" spans="1:36">
      <c r="A159" s="419" t="s">
        <v>4205</v>
      </c>
      <c r="B159" s="419" t="s">
        <v>4206</v>
      </c>
      <c r="C159" s="419">
        <v>8.8778331999999998E-4</v>
      </c>
      <c r="D159" s="419">
        <v>0</v>
      </c>
      <c r="E159" s="1385">
        <v>1.6883632E-5</v>
      </c>
      <c r="F159" s="1385">
        <v>9.7303843000000003E-6</v>
      </c>
      <c r="G159" s="1385">
        <v>6.1445311999999999E-6</v>
      </c>
      <c r="H159" s="1385">
        <v>7.3201381000000002E-6</v>
      </c>
      <c r="I159" s="1385">
        <v>7.0923017999999996E-6</v>
      </c>
      <c r="J159" s="1385">
        <v>9.9095752000000006E-6</v>
      </c>
      <c r="K159" s="1385">
        <v>1.1216142000000001E-5</v>
      </c>
      <c r="L159" s="1385">
        <v>1.4219736000000001E-5</v>
      </c>
      <c r="M159" s="1385">
        <v>1.2851474999999999E-6</v>
      </c>
      <c r="N159" s="1385">
        <v>8.2135713999999992E-6</v>
      </c>
      <c r="O159" s="1385">
        <v>1.1772047E-5</v>
      </c>
      <c r="P159" s="1385">
        <v>4.3017103E-5</v>
      </c>
      <c r="Q159" s="1385">
        <v>1.7352635E-5</v>
      </c>
      <c r="R159" s="1385">
        <v>1.2425723E-5</v>
      </c>
      <c r="S159" s="1385">
        <v>1.2625527E-5</v>
      </c>
      <c r="T159" s="1385">
        <v>2.0756976999999998E-5</v>
      </c>
      <c r="U159" s="1385">
        <v>6.2091960999999996E-6</v>
      </c>
      <c r="V159" s="1385">
        <v>9.0719506000000001E-6</v>
      </c>
      <c r="W159" s="1385">
        <v>1.9298853000000001E-5</v>
      </c>
      <c r="X159" s="1385">
        <v>1.2332323999999999E-5</v>
      </c>
      <c r="Y159" s="419">
        <v>1.7159592000000001E-4</v>
      </c>
      <c r="Z159" s="1385">
        <v>1.9293355000000001E-5</v>
      </c>
      <c r="AA159" s="1385">
        <v>3.1810824999999999E-5</v>
      </c>
      <c r="AB159" s="1385">
        <v>3.4873262E-5</v>
      </c>
      <c r="AC159" s="1385">
        <v>6.1159611000000003E-6</v>
      </c>
      <c r="AD159" s="1385">
        <v>1.0153052999999999E-5</v>
      </c>
      <c r="AE159" s="1385">
        <v>8.0388565999999995E-6</v>
      </c>
      <c r="AF159" s="1385">
        <v>1.2625527E-5</v>
      </c>
      <c r="AG159" s="1385">
        <v>1.9293355000000001E-5</v>
      </c>
      <c r="AH159" s="1385">
        <v>6.9467873999999995E-5</v>
      </c>
      <c r="AI159" s="1385">
        <v>7.2572523000000001E-6</v>
      </c>
      <c r="AJ159" s="419">
        <v>2.4038058000000001E-4</v>
      </c>
    </row>
    <row r="160" spans="1:36">
      <c r="A160" s="419" t="s">
        <v>4207</v>
      </c>
      <c r="B160" s="419" t="s">
        <v>4208</v>
      </c>
      <c r="C160" s="419">
        <v>0</v>
      </c>
      <c r="D160" s="419">
        <v>0</v>
      </c>
      <c r="E160" s="419">
        <v>0</v>
      </c>
      <c r="F160" s="419">
        <v>0</v>
      </c>
      <c r="G160" s="419">
        <v>0</v>
      </c>
      <c r="H160" s="419">
        <v>0</v>
      </c>
      <c r="I160" s="419">
        <v>0</v>
      </c>
      <c r="J160" s="419">
        <v>0</v>
      </c>
      <c r="K160" s="419">
        <v>0</v>
      </c>
      <c r="L160" s="419">
        <v>0</v>
      </c>
      <c r="M160" s="419">
        <v>0</v>
      </c>
      <c r="N160" s="419">
        <v>0</v>
      </c>
      <c r="O160" s="419">
        <v>0</v>
      </c>
      <c r="P160" s="419">
        <v>0</v>
      </c>
      <c r="Q160" s="419">
        <v>0</v>
      </c>
      <c r="R160" s="419">
        <v>0</v>
      </c>
      <c r="S160" s="419">
        <v>0</v>
      </c>
      <c r="T160" s="419">
        <v>0</v>
      </c>
      <c r="U160" s="419">
        <v>0</v>
      </c>
      <c r="V160" s="419">
        <v>0</v>
      </c>
      <c r="W160" s="419">
        <v>0</v>
      </c>
      <c r="X160" s="419">
        <v>0</v>
      </c>
      <c r="Y160" s="419">
        <v>0</v>
      </c>
      <c r="Z160" s="419">
        <v>0</v>
      </c>
      <c r="AA160" s="419">
        <v>0</v>
      </c>
      <c r="AB160" s="419">
        <v>0</v>
      </c>
      <c r="AC160" s="419">
        <v>0</v>
      </c>
      <c r="AD160" s="419">
        <v>0</v>
      </c>
      <c r="AE160" s="419">
        <v>0</v>
      </c>
      <c r="AF160" s="419">
        <v>0</v>
      </c>
      <c r="AG160" s="419">
        <v>0</v>
      </c>
      <c r="AH160" s="419">
        <v>0</v>
      </c>
      <c r="AI160" s="419">
        <v>0</v>
      </c>
      <c r="AJ160" s="419">
        <v>0</v>
      </c>
    </row>
    <row r="161" spans="1:36">
      <c r="A161" s="419" t="s">
        <v>4209</v>
      </c>
      <c r="B161" s="419" t="s">
        <v>4210</v>
      </c>
      <c r="C161" s="419">
        <v>24.474620999999999</v>
      </c>
      <c r="D161" s="419">
        <v>0</v>
      </c>
      <c r="E161" s="419">
        <v>0.39693708999999999</v>
      </c>
      <c r="F161" s="419">
        <v>0.28055819999999998</v>
      </c>
      <c r="G161" s="419">
        <v>1.7302739</v>
      </c>
      <c r="H161" s="419">
        <v>0.56894005000000003</v>
      </c>
      <c r="I161" s="419">
        <v>1.5101849000000001</v>
      </c>
      <c r="J161" s="419">
        <v>0.83633670000000004</v>
      </c>
      <c r="K161" s="419">
        <v>2.5202659000000001</v>
      </c>
      <c r="L161" s="419">
        <v>0.62049286999999997</v>
      </c>
      <c r="M161" s="419">
        <v>0.21279719</v>
      </c>
      <c r="N161" s="419">
        <v>0.51485592999999996</v>
      </c>
      <c r="O161" s="419">
        <v>1.8848701999999999</v>
      </c>
      <c r="P161" s="419">
        <v>0.71349183999999999</v>
      </c>
      <c r="Q161" s="419">
        <v>0.84503169</v>
      </c>
      <c r="R161" s="419">
        <v>0.52819227000000002</v>
      </c>
      <c r="S161" s="419">
        <v>0.15193810999999999</v>
      </c>
      <c r="T161" s="419">
        <v>0.25726566000000001</v>
      </c>
      <c r="U161" s="419">
        <v>0.21540287999999999</v>
      </c>
      <c r="V161" s="419">
        <v>0.58420353000000003</v>
      </c>
      <c r="W161" s="419">
        <v>0.29283137999999997</v>
      </c>
      <c r="X161" s="419">
        <v>0.29429490000000003</v>
      </c>
      <c r="Y161" s="419">
        <v>0.27289674000000003</v>
      </c>
      <c r="Z161" s="419">
        <v>0.35909892999999998</v>
      </c>
      <c r="AA161" s="419">
        <v>0.51386816000000002</v>
      </c>
      <c r="AB161" s="419">
        <v>0.49169180000000001</v>
      </c>
      <c r="AC161" s="419">
        <v>0.51012250000000003</v>
      </c>
      <c r="AD161" s="419">
        <v>0.66130966000000002</v>
      </c>
      <c r="AE161" s="419">
        <v>1.6478790999999999</v>
      </c>
      <c r="AF161" s="419">
        <v>0.15193810999999999</v>
      </c>
      <c r="AG161" s="419">
        <v>0.35909892999999998</v>
      </c>
      <c r="AH161" s="419">
        <v>0.83558827999999996</v>
      </c>
      <c r="AI161" s="419">
        <v>0.99184156999999995</v>
      </c>
      <c r="AJ161" s="419">
        <v>2.7201219000000001</v>
      </c>
    </row>
    <row r="162" spans="1:36">
      <c r="A162" s="419" t="s">
        <v>4211</v>
      </c>
      <c r="B162" s="419" t="s">
        <v>4210</v>
      </c>
      <c r="C162" s="419">
        <v>4.4405783000000002E-4</v>
      </c>
      <c r="D162" s="419">
        <v>0</v>
      </c>
      <c r="E162" s="1385">
        <v>4.8108075000000003E-6</v>
      </c>
      <c r="F162" s="1385">
        <v>4.2513072000000001E-6</v>
      </c>
      <c r="G162" s="1385">
        <v>4.5767031999999998E-5</v>
      </c>
      <c r="H162" s="1385">
        <v>1.0386278000000001E-5</v>
      </c>
      <c r="I162" s="1385">
        <v>3.7703717999999999E-5</v>
      </c>
      <c r="J162" s="1385">
        <v>1.9048596000000002E-5</v>
      </c>
      <c r="K162" s="1385">
        <v>6.6898411000000007E-5</v>
      </c>
      <c r="L162" s="1385">
        <v>8.9191330999999992E-6</v>
      </c>
      <c r="M162" s="1385">
        <v>3.8371011000000003E-6</v>
      </c>
      <c r="N162" s="1385">
        <v>9.3765648000000004E-6</v>
      </c>
      <c r="O162" s="1385">
        <v>1.5638767E-5</v>
      </c>
      <c r="P162" s="1385">
        <v>1.317389E-5</v>
      </c>
      <c r="Q162" s="1385">
        <v>1.0022923E-5</v>
      </c>
      <c r="R162" s="1385">
        <v>6.9766423999999999E-6</v>
      </c>
      <c r="S162" s="1385">
        <v>2.3526922E-6</v>
      </c>
      <c r="T162" s="1385">
        <v>4.2766699999999997E-6</v>
      </c>
      <c r="U162" s="1385">
        <v>4.5675606000000003E-6</v>
      </c>
      <c r="V162" s="1385">
        <v>6.6605052000000002E-6</v>
      </c>
      <c r="W162" s="1385">
        <v>4.6836476000000002E-6</v>
      </c>
      <c r="X162" s="1385">
        <v>5.7149028000000001E-6</v>
      </c>
      <c r="Y162" s="1385">
        <v>4.9497058000000001E-6</v>
      </c>
      <c r="Z162" s="1385">
        <v>4.8187347000000002E-6</v>
      </c>
      <c r="AA162" s="1385">
        <v>6.9660040999999999E-6</v>
      </c>
      <c r="AB162" s="1385">
        <v>6.8217648999999998E-6</v>
      </c>
      <c r="AC162" s="1385">
        <v>7.2187897999999997E-6</v>
      </c>
      <c r="AD162" s="1385">
        <v>1.4087363E-5</v>
      </c>
      <c r="AE162" s="1385">
        <v>4.2601688999999999E-5</v>
      </c>
      <c r="AF162" s="1385">
        <v>2.3526922E-6</v>
      </c>
      <c r="AG162" s="1385">
        <v>4.8187347000000002E-6</v>
      </c>
      <c r="AH162" s="1385">
        <v>1.1107050000000001E-5</v>
      </c>
      <c r="AI162" s="1385">
        <v>1.0133476E-5</v>
      </c>
      <c r="AJ162" s="1385">
        <v>4.3114682E-5</v>
      </c>
    </row>
    <row r="163" spans="1:36">
      <c r="A163" s="419" t="s">
        <v>4212</v>
      </c>
      <c r="B163" s="419" t="s">
        <v>4210</v>
      </c>
      <c r="C163" s="419">
        <v>1.3528605000000001E-2</v>
      </c>
      <c r="D163" s="419">
        <v>0</v>
      </c>
      <c r="E163" s="419">
        <v>1.9592161E-4</v>
      </c>
      <c r="F163" s="419">
        <v>1.4713287999999999E-4</v>
      </c>
      <c r="G163" s="419">
        <v>1.094357E-3</v>
      </c>
      <c r="H163" s="419">
        <v>3.1848016000000001E-4</v>
      </c>
      <c r="I163" s="419">
        <v>9.3894503000000005E-4</v>
      </c>
      <c r="J163" s="419">
        <v>5.0741817000000001E-4</v>
      </c>
      <c r="K163" s="419">
        <v>1.5999406E-3</v>
      </c>
      <c r="L163" s="419">
        <v>3.2005933000000002E-4</v>
      </c>
      <c r="M163" s="419">
        <v>1.1730898E-4</v>
      </c>
      <c r="N163" s="419">
        <v>2.8449802999999999E-4</v>
      </c>
      <c r="O163" s="419">
        <v>8.5605586999999998E-4</v>
      </c>
      <c r="P163" s="419">
        <v>3.9766157E-4</v>
      </c>
      <c r="Q163" s="419">
        <v>4.1358289999999999E-4</v>
      </c>
      <c r="R163" s="419">
        <v>2.6587884E-4</v>
      </c>
      <c r="S163" s="1385">
        <v>7.9839424000000006E-5</v>
      </c>
      <c r="T163" s="419">
        <v>1.3818114999999999E-4</v>
      </c>
      <c r="U163" s="419">
        <v>1.2497117000000001E-4</v>
      </c>
      <c r="V163" s="419">
        <v>2.8360469999999999E-4</v>
      </c>
      <c r="W163" s="419">
        <v>1.5573188E-4</v>
      </c>
      <c r="X163" s="419">
        <v>1.6654657E-4</v>
      </c>
      <c r="Y163" s="419">
        <v>1.5082718000000001E-4</v>
      </c>
      <c r="Z163" s="419">
        <v>1.8155746999999999E-4</v>
      </c>
      <c r="AA163" s="419">
        <v>2.605997E-4</v>
      </c>
      <c r="AB163" s="419">
        <v>2.5097249000000002E-4</v>
      </c>
      <c r="AC163" s="419">
        <v>2.6644825E-4</v>
      </c>
      <c r="AD163" s="419">
        <v>3.8675930000000002E-4</v>
      </c>
      <c r="AE163" s="419">
        <v>1.0274157000000001E-3</v>
      </c>
      <c r="AF163" s="1385">
        <v>7.9839424000000006E-5</v>
      </c>
      <c r="AG163" s="419">
        <v>1.8155746999999999E-4</v>
      </c>
      <c r="AH163" s="419">
        <v>4.2179880999999999E-4</v>
      </c>
      <c r="AI163" s="419">
        <v>4.7220414999999999E-4</v>
      </c>
      <c r="AJ163" s="419">
        <v>1.4425093999999999E-3</v>
      </c>
    </row>
    <row r="164" spans="1:36">
      <c r="A164" s="419" t="s">
        <v>4213</v>
      </c>
      <c r="B164" s="419" t="s">
        <v>4210</v>
      </c>
      <c r="C164" s="419">
        <v>9.5644235000000005E-3</v>
      </c>
      <c r="D164" s="419">
        <v>0</v>
      </c>
      <c r="E164" s="419">
        <v>1.0030958E-4</v>
      </c>
      <c r="F164" s="1385">
        <v>9.5159810000000004E-5</v>
      </c>
      <c r="G164" s="419">
        <v>7.9898017E-4</v>
      </c>
      <c r="H164" s="419">
        <v>2.5615304999999998E-4</v>
      </c>
      <c r="I164" s="419">
        <v>7.9013352999999999E-4</v>
      </c>
      <c r="J164" s="419">
        <v>4.8538660000000002E-4</v>
      </c>
      <c r="K164" s="419">
        <v>1.2663338E-3</v>
      </c>
      <c r="L164" s="419">
        <v>1.7991652E-4</v>
      </c>
      <c r="M164" s="1385">
        <v>7.3384878999999999E-5</v>
      </c>
      <c r="N164" s="419">
        <v>2.1993988E-4</v>
      </c>
      <c r="O164" s="419">
        <v>1.4237973E-4</v>
      </c>
      <c r="P164" s="419">
        <v>4.0662502000000001E-4</v>
      </c>
      <c r="Q164" s="419">
        <v>1.5592350000000001E-4</v>
      </c>
      <c r="R164" s="419">
        <v>1.1692302999999999E-4</v>
      </c>
      <c r="S164" s="1385">
        <v>4.7491429999999999E-5</v>
      </c>
      <c r="T164" s="1385">
        <v>8.4397155000000003E-5</v>
      </c>
      <c r="U164" s="1385">
        <v>8.2076322000000006E-5</v>
      </c>
      <c r="V164" s="1385">
        <v>9.0095332999999995E-5</v>
      </c>
      <c r="W164" s="1385">
        <v>9.9464745E-5</v>
      </c>
      <c r="X164" s="419">
        <v>1.2255885999999999E-4</v>
      </c>
      <c r="Y164" s="419">
        <v>1.0452004E-4</v>
      </c>
      <c r="Z164" s="1385">
        <v>8.3420529999999994E-5</v>
      </c>
      <c r="AA164" s="419">
        <v>1.2485746000000001E-4</v>
      </c>
      <c r="AB164" s="419">
        <v>1.2768470999999999E-4</v>
      </c>
      <c r="AC164" s="419">
        <v>3.1714083999999999E-4</v>
      </c>
      <c r="AD164" s="419">
        <v>2.7415151000000001E-4</v>
      </c>
      <c r="AE164" s="419">
        <v>6.9586579000000003E-4</v>
      </c>
      <c r="AF164" s="1385">
        <v>4.7491429999999999E-5</v>
      </c>
      <c r="AG164" s="1385">
        <v>8.3420529999999994E-5</v>
      </c>
      <c r="AH164" s="419">
        <v>2.0249956000000001E-4</v>
      </c>
      <c r="AI164" s="419">
        <v>1.8319718999999999E-4</v>
      </c>
      <c r="AJ164" s="419">
        <v>1.7065409E-3</v>
      </c>
    </row>
    <row r="165" spans="1:36">
      <c r="A165" s="419" t="s">
        <v>4214</v>
      </c>
      <c r="B165" s="419" t="s">
        <v>4210</v>
      </c>
      <c r="C165" s="419">
        <v>2.0911878000000002</v>
      </c>
      <c r="D165" s="419">
        <v>0</v>
      </c>
      <c r="E165" s="419">
        <v>1.7608129E-2</v>
      </c>
      <c r="F165" s="419">
        <v>1.7605477000000001E-2</v>
      </c>
      <c r="G165" s="419">
        <v>0.24141016000000001</v>
      </c>
      <c r="H165" s="419">
        <v>5.0083107000000002E-2</v>
      </c>
      <c r="I165" s="419">
        <v>0.20411433000000001</v>
      </c>
      <c r="J165" s="419">
        <v>0.10124724</v>
      </c>
      <c r="K165" s="419">
        <v>0.35373041999999999</v>
      </c>
      <c r="L165" s="419">
        <v>3.6975467999999997E-2</v>
      </c>
      <c r="M165" s="419">
        <v>1.7531340999999999E-2</v>
      </c>
      <c r="N165" s="419">
        <v>4.7496932999999998E-2</v>
      </c>
      <c r="O165" s="419">
        <v>3.3154551999999997E-2</v>
      </c>
      <c r="P165" s="419">
        <v>7.2830793000000005E-2</v>
      </c>
      <c r="Q165" s="419">
        <v>3.5502357999999998E-2</v>
      </c>
      <c r="R165" s="419">
        <v>2.6979895E-2</v>
      </c>
      <c r="S165" s="419">
        <v>1.0093721999999999E-2</v>
      </c>
      <c r="T165" s="419">
        <v>1.8926463000000001E-2</v>
      </c>
      <c r="U165" s="419">
        <v>2.1856737000000001E-2</v>
      </c>
      <c r="V165" s="419">
        <v>2.2338915000000001E-2</v>
      </c>
      <c r="W165" s="419">
        <v>2.0825237E-2</v>
      </c>
      <c r="X165" s="419">
        <v>2.7174344999999999E-2</v>
      </c>
      <c r="Y165" s="419">
        <v>2.2681448999999999E-2</v>
      </c>
      <c r="Z165" s="419">
        <v>1.8740765E-2</v>
      </c>
      <c r="AA165" s="419">
        <v>2.7095668E-2</v>
      </c>
      <c r="AB165" s="419">
        <v>2.6618378000000002E-2</v>
      </c>
      <c r="AC165" s="419">
        <v>2.5983441999999999E-2</v>
      </c>
      <c r="AD165" s="419">
        <v>6.8134748999999994E-2</v>
      </c>
      <c r="AE165" s="419">
        <v>0.21386242</v>
      </c>
      <c r="AF165" s="419">
        <v>1.0093721999999999E-2</v>
      </c>
      <c r="AG165" s="419">
        <v>1.8740765E-2</v>
      </c>
      <c r="AH165" s="419">
        <v>4.2708324999999998E-2</v>
      </c>
      <c r="AI165" s="419">
        <v>2.7808051E-2</v>
      </c>
      <c r="AJ165" s="419">
        <v>0.21123444999999999</v>
      </c>
    </row>
    <row r="166" spans="1:36">
      <c r="A166" s="419" t="s">
        <v>4215</v>
      </c>
      <c r="B166" s="419" t="s">
        <v>4216</v>
      </c>
      <c r="C166" s="419">
        <v>15.332546000000001</v>
      </c>
      <c r="D166" s="419">
        <v>0</v>
      </c>
      <c r="E166" s="419">
        <v>0.19654642999999999</v>
      </c>
      <c r="F166" s="419">
        <v>0.29139745</v>
      </c>
      <c r="G166" s="419">
        <v>7.3986640000000006E-2</v>
      </c>
      <c r="H166" s="419">
        <v>8.1171010000000002E-2</v>
      </c>
      <c r="I166" s="419">
        <v>8.9229271999999998E-2</v>
      </c>
      <c r="J166" s="419">
        <v>0.13190901999999999</v>
      </c>
      <c r="K166" s="419">
        <v>0.16914417000000001</v>
      </c>
      <c r="L166" s="419">
        <v>0.17596696000000001</v>
      </c>
      <c r="M166" s="419">
        <v>2.3269738000000002E-2</v>
      </c>
      <c r="N166" s="419">
        <v>8.6192149999999995E-2</v>
      </c>
      <c r="O166" s="419">
        <v>0.10283127</v>
      </c>
      <c r="P166" s="419">
        <v>0.24535153000000001</v>
      </c>
      <c r="Q166" s="419">
        <v>0.13963175</v>
      </c>
      <c r="R166" s="419">
        <v>9.9353803000000004E-2</v>
      </c>
      <c r="S166" s="419">
        <v>7.9352131000000006E-2</v>
      </c>
      <c r="T166" s="419">
        <v>0.1366019</v>
      </c>
      <c r="U166" s="419">
        <v>6.3565683999999997E-2</v>
      </c>
      <c r="V166" s="419">
        <v>7.7737114999999996E-2</v>
      </c>
      <c r="W166" s="419">
        <v>0.12991426</v>
      </c>
      <c r="X166" s="419">
        <v>0.10781143</v>
      </c>
      <c r="Y166" s="419">
        <v>0.80043807</v>
      </c>
      <c r="Z166" s="419">
        <v>0.14167395999999999</v>
      </c>
      <c r="AA166" s="419">
        <v>0.21468887</v>
      </c>
      <c r="AB166" s="419">
        <v>0.31637999999999999</v>
      </c>
      <c r="AC166" s="419">
        <v>2.3914575999999999</v>
      </c>
      <c r="AD166" s="419">
        <v>0.63756935999999997</v>
      </c>
      <c r="AE166" s="419">
        <v>0.16041960999999999</v>
      </c>
      <c r="AF166" s="419">
        <v>7.9352131000000006E-2</v>
      </c>
      <c r="AG166" s="419">
        <v>0.14167395999999999</v>
      </c>
      <c r="AH166" s="419">
        <v>0.43350775000000003</v>
      </c>
      <c r="AI166" s="419">
        <v>0.11933307999999999</v>
      </c>
      <c r="AJ166" s="419">
        <v>7.3950880000000003</v>
      </c>
    </row>
    <row r="167" spans="1:36">
      <c r="A167" s="419" t="s">
        <v>4217</v>
      </c>
      <c r="B167" s="419" t="s">
        <v>4218</v>
      </c>
      <c r="C167" s="419">
        <v>4.7500184000000001</v>
      </c>
      <c r="D167" s="419">
        <v>0</v>
      </c>
      <c r="E167" s="419">
        <v>2.1752931E-2</v>
      </c>
      <c r="F167" s="419">
        <v>2.1355096E-2</v>
      </c>
      <c r="G167" s="419">
        <v>0.18888041</v>
      </c>
      <c r="H167" s="419">
        <v>9.3461014999999995E-2</v>
      </c>
      <c r="I167" s="419">
        <v>0.52399320999999999</v>
      </c>
      <c r="J167" s="419">
        <v>0.34366764</v>
      </c>
      <c r="K167" s="419">
        <v>0.43964051999999998</v>
      </c>
      <c r="L167" s="419">
        <v>4.4170701E-2</v>
      </c>
      <c r="M167" s="419">
        <v>2.1087277000000001E-2</v>
      </c>
      <c r="N167" s="419">
        <v>5.6381924999999999E-2</v>
      </c>
      <c r="O167" s="419">
        <v>3.2121327999999998E-2</v>
      </c>
      <c r="P167" s="419">
        <v>7.7527415000000002E-2</v>
      </c>
      <c r="Q167" s="419">
        <v>4.0376339999999997E-2</v>
      </c>
      <c r="R167" s="419">
        <v>3.7243887000000003E-2</v>
      </c>
      <c r="S167" s="419">
        <v>1.5368786000000001E-2</v>
      </c>
      <c r="T167" s="419">
        <v>2.8385515E-2</v>
      </c>
      <c r="U167" s="419">
        <v>4.3299925000000003E-2</v>
      </c>
      <c r="V167" s="419">
        <v>2.6208102E-2</v>
      </c>
      <c r="W167" s="419">
        <v>3.1592463000000001E-2</v>
      </c>
      <c r="X167" s="419">
        <v>3.6713633000000002E-2</v>
      </c>
      <c r="Y167" s="419">
        <v>3.6842591000000001E-2</v>
      </c>
      <c r="Z167" s="419">
        <v>2.4293084999999999E-2</v>
      </c>
      <c r="AA167" s="419">
        <v>3.7363803000000001E-2</v>
      </c>
      <c r="AB167" s="419">
        <v>3.6067544999999999E-2</v>
      </c>
      <c r="AC167" s="419">
        <v>3.1136707999999999E-2</v>
      </c>
      <c r="AD167" s="419">
        <v>6.4697287000000006E-2</v>
      </c>
      <c r="AE167" s="419">
        <v>0.55680114000000003</v>
      </c>
      <c r="AF167" s="419">
        <v>1.5368786000000001E-2</v>
      </c>
      <c r="AG167" s="419">
        <v>2.4293084999999999E-2</v>
      </c>
      <c r="AH167" s="419">
        <v>5.1014062999999998E-2</v>
      </c>
      <c r="AI167" s="419">
        <v>3.3502399000000002E-2</v>
      </c>
      <c r="AJ167" s="419">
        <v>1.7154098</v>
      </c>
    </row>
    <row r="168" spans="1:36">
      <c r="A168" s="419" t="s">
        <v>4219</v>
      </c>
      <c r="B168" s="419" t="s">
        <v>4220</v>
      </c>
      <c r="C168" s="419">
        <v>2.7945783</v>
      </c>
      <c r="D168" s="419">
        <v>0</v>
      </c>
      <c r="E168" s="419">
        <v>5.5933897000000003E-2</v>
      </c>
      <c r="F168" s="419">
        <v>3.8621897000000002E-2</v>
      </c>
      <c r="G168" s="419">
        <v>4.8640862999999999E-2</v>
      </c>
      <c r="H168" s="419">
        <v>4.8742302000000001E-2</v>
      </c>
      <c r="I168" s="419">
        <v>4.8814084000000001E-2</v>
      </c>
      <c r="J168" s="419">
        <v>4.5521964999999998E-2</v>
      </c>
      <c r="K168" s="419">
        <v>7.7700310999999994E-2</v>
      </c>
      <c r="L168" s="419">
        <v>7.9048972999999995E-2</v>
      </c>
      <c r="M168" s="419">
        <v>2.3260652999999999E-2</v>
      </c>
      <c r="N168" s="419">
        <v>4.4323105000000002E-2</v>
      </c>
      <c r="O168" s="419">
        <v>0.2684223</v>
      </c>
      <c r="P168" s="419">
        <v>0.26333206999999997</v>
      </c>
      <c r="Q168" s="419">
        <v>0.1107432</v>
      </c>
      <c r="R168" s="419">
        <v>6.3979760999999996E-2</v>
      </c>
      <c r="S168" s="419">
        <v>1.8969963999999999E-2</v>
      </c>
      <c r="T168" s="419">
        <v>2.891821E-2</v>
      </c>
      <c r="U168" s="419">
        <v>1.5657457E-2</v>
      </c>
      <c r="V168" s="419">
        <v>7.5961808000000006E-2</v>
      </c>
      <c r="W168" s="419">
        <v>3.3090069999999999E-2</v>
      </c>
      <c r="X168" s="419">
        <v>3.3614586000000002E-2</v>
      </c>
      <c r="Y168" s="419">
        <v>3.3472521999999998E-2</v>
      </c>
      <c r="Z168" s="419">
        <v>4.4740264000000002E-2</v>
      </c>
      <c r="AA168" s="419">
        <v>6.9310732E-2</v>
      </c>
      <c r="AB168" s="419">
        <v>6.4357301000000006E-2</v>
      </c>
      <c r="AC168" s="419">
        <v>0.11406289</v>
      </c>
      <c r="AD168" s="419">
        <v>5.2588973999999997E-2</v>
      </c>
      <c r="AE168" s="419">
        <v>5.9329492999999997E-2</v>
      </c>
      <c r="AF168" s="419">
        <v>1.8969963999999999E-2</v>
      </c>
      <c r="AG168" s="419">
        <v>4.4740264000000002E-2</v>
      </c>
      <c r="AH168" s="419">
        <v>0.11121592</v>
      </c>
      <c r="AI168" s="419">
        <v>0.16896933</v>
      </c>
      <c r="AJ168" s="419">
        <v>0.58952320999999996</v>
      </c>
    </row>
    <row r="169" spans="1:36">
      <c r="A169" s="419" t="s">
        <v>4221</v>
      </c>
      <c r="B169" s="419" t="s">
        <v>449</v>
      </c>
      <c r="C169" s="419">
        <v>9.7022685000000006</v>
      </c>
      <c r="D169" s="419">
        <v>0</v>
      </c>
      <c r="E169" s="419">
        <v>1.7288824000000001E-2</v>
      </c>
      <c r="F169" s="419">
        <v>8.6486070000000009E-3</v>
      </c>
      <c r="G169" s="419">
        <v>1.3866896E-2</v>
      </c>
      <c r="H169" s="419">
        <v>1.1392958999999999E-2</v>
      </c>
      <c r="I169" s="419">
        <v>1.4758623E-2</v>
      </c>
      <c r="J169" s="419">
        <v>1.3022363E-2</v>
      </c>
      <c r="K169" s="419">
        <v>2.1683582999999999E-2</v>
      </c>
      <c r="L169" s="419">
        <v>8.6980281999999995</v>
      </c>
      <c r="M169" s="419">
        <v>4.3787744000000003E-3</v>
      </c>
      <c r="N169" s="419">
        <v>9.8086565000000004E-3</v>
      </c>
      <c r="O169" s="419">
        <v>3.4036903E-2</v>
      </c>
      <c r="P169" s="419">
        <v>3.7951998000000001E-2</v>
      </c>
      <c r="Q169" s="419">
        <v>1.7705644999999999E-2</v>
      </c>
      <c r="R169" s="419">
        <v>1.1048672000000001E-2</v>
      </c>
      <c r="S169" s="419">
        <v>5.3555542999999999E-3</v>
      </c>
      <c r="T169" s="419">
        <v>8.4109463999999991E-3</v>
      </c>
      <c r="U169" s="419">
        <v>3.482522E-3</v>
      </c>
      <c r="V169" s="419">
        <v>1.1106939999999999E-2</v>
      </c>
      <c r="W169" s="419">
        <v>9.2011100999999998E-3</v>
      </c>
      <c r="X169" s="419">
        <v>8.2999406999999994E-3</v>
      </c>
      <c r="Y169" s="419">
        <v>4.4329649999999998E-2</v>
      </c>
      <c r="Z169" s="419">
        <v>9.4477775000000007E-3</v>
      </c>
      <c r="AA169" s="419">
        <v>1.528299E-2</v>
      </c>
      <c r="AB169" s="419">
        <v>1.9056690000000001E-2</v>
      </c>
      <c r="AC169" s="419">
        <v>3.0330053999999999E-2</v>
      </c>
      <c r="AD169" s="419">
        <v>1.4031767000000001E-2</v>
      </c>
      <c r="AE169" s="419">
        <v>1.3327912000000001E-2</v>
      </c>
      <c r="AF169" s="419">
        <v>5.3555542999999999E-3</v>
      </c>
      <c r="AG169" s="419">
        <v>9.4477775000000007E-3</v>
      </c>
      <c r="AH169" s="419">
        <v>2.7923934000000001E-2</v>
      </c>
      <c r="AI169" s="419">
        <v>3.1927671999999997E-2</v>
      </c>
      <c r="AJ169" s="419">
        <v>0.52232900999999998</v>
      </c>
    </row>
    <row r="173" spans="1:36">
      <c r="A173" s="419" t="s">
        <v>4017</v>
      </c>
      <c r="B173" s="419" t="s">
        <v>4018</v>
      </c>
    </row>
    <row r="174" spans="1:36">
      <c r="A174" s="419" t="s">
        <v>4020</v>
      </c>
      <c r="B174" s="419" t="s">
        <v>4021</v>
      </c>
    </row>
    <row r="175" spans="1:36">
      <c r="A175" s="419" t="s">
        <v>4023</v>
      </c>
      <c r="B175" s="419" t="s">
        <v>4255</v>
      </c>
    </row>
    <row r="176" spans="1:36">
      <c r="A176" s="419" t="s">
        <v>4026</v>
      </c>
      <c r="B176" s="419" t="s">
        <v>4184</v>
      </c>
    </row>
    <row r="177" spans="1:3">
      <c r="A177" s="419" t="s">
        <v>4029</v>
      </c>
      <c r="B177" s="419" t="s">
        <v>4030</v>
      </c>
    </row>
    <row r="178" spans="1:3">
      <c r="A178" s="419" t="s">
        <v>4032</v>
      </c>
      <c r="B178" s="419" t="s">
        <v>4033</v>
      </c>
    </row>
    <row r="179" spans="1:3">
      <c r="A179" s="419" t="s">
        <v>4035</v>
      </c>
      <c r="B179" s="419" t="s">
        <v>127</v>
      </c>
    </row>
    <row r="180" spans="1:3">
      <c r="A180" s="419" t="s">
        <v>4037</v>
      </c>
      <c r="B180" s="419" t="s">
        <v>4256</v>
      </c>
    </row>
    <row r="181" spans="1:3">
      <c r="A181" s="419" t="s">
        <v>4039</v>
      </c>
      <c r="B181" s="419" t="s">
        <v>4040</v>
      </c>
    </row>
    <row r="182" spans="1:3">
      <c r="A182" s="419" t="s">
        <v>4042</v>
      </c>
      <c r="B182" s="419" t="s">
        <v>4043</v>
      </c>
    </row>
    <row r="184" spans="1:3">
      <c r="A184" s="419" t="s">
        <v>4040</v>
      </c>
      <c r="B184" s="419" t="s">
        <v>4049</v>
      </c>
      <c r="C184" s="419" t="s">
        <v>4257</v>
      </c>
    </row>
    <row r="185" spans="1:3">
      <c r="A185" s="419" t="s">
        <v>4193</v>
      </c>
      <c r="B185" s="419" t="s">
        <v>4058</v>
      </c>
      <c r="C185" s="419">
        <v>1.8588391</v>
      </c>
    </row>
    <row r="186" spans="1:3">
      <c r="A186" s="419" t="s">
        <v>4194</v>
      </c>
      <c r="B186" s="419" t="s">
        <v>4195</v>
      </c>
      <c r="C186" s="1385">
        <v>6.7579483999999995E-8</v>
      </c>
    </row>
    <row r="187" spans="1:3">
      <c r="A187" s="419" t="s">
        <v>4196</v>
      </c>
      <c r="B187" s="419" t="s">
        <v>4197</v>
      </c>
      <c r="C187" s="419">
        <v>2.2004218999999999E-4</v>
      </c>
    </row>
    <row r="188" spans="1:3">
      <c r="A188" s="419" t="s">
        <v>4198</v>
      </c>
      <c r="B188" s="419" t="s">
        <v>4199</v>
      </c>
      <c r="C188" s="419">
        <v>1.2199864E-4</v>
      </c>
    </row>
    <row r="189" spans="1:3">
      <c r="A189" s="419" t="s">
        <v>4200</v>
      </c>
      <c r="B189" s="419" t="s">
        <v>4201</v>
      </c>
      <c r="C189" s="1385">
        <v>7.8076824000000003E-5</v>
      </c>
    </row>
    <row r="190" spans="1:3">
      <c r="A190" s="419" t="s">
        <v>4202</v>
      </c>
      <c r="B190" s="419" t="s">
        <v>4199</v>
      </c>
      <c r="C190" s="419">
        <v>1.2385544E-4</v>
      </c>
    </row>
    <row r="191" spans="1:3">
      <c r="A191" s="419" t="s">
        <v>4203</v>
      </c>
      <c r="B191" s="419" t="s">
        <v>4204</v>
      </c>
      <c r="C191" s="419">
        <v>1.7355530000000001E-4</v>
      </c>
    </row>
    <row r="192" spans="1:3">
      <c r="A192" s="419" t="s">
        <v>4205</v>
      </c>
      <c r="B192" s="419" t="s">
        <v>4206</v>
      </c>
      <c r="C192" s="1385">
        <v>7.1943715000000003E-7</v>
      </c>
    </row>
    <row r="193" spans="1:3">
      <c r="A193" s="419" t="s">
        <v>4207</v>
      </c>
      <c r="B193" s="419" t="s">
        <v>4208</v>
      </c>
      <c r="C193" s="419">
        <v>4.8261033E-4</v>
      </c>
    </row>
    <row r="194" spans="1:3">
      <c r="A194" s="419" t="s">
        <v>4209</v>
      </c>
      <c r="B194" s="419" t="s">
        <v>4210</v>
      </c>
      <c r="C194" s="419">
        <v>5.6447580999999997E-2</v>
      </c>
    </row>
    <row r="195" spans="1:3">
      <c r="A195" s="419" t="s">
        <v>4211</v>
      </c>
      <c r="B195" s="419" t="s">
        <v>4210</v>
      </c>
      <c r="C195" s="1385">
        <v>9.5233231E-5</v>
      </c>
    </row>
    <row r="196" spans="1:3">
      <c r="A196" s="419" t="s">
        <v>4212</v>
      </c>
      <c r="B196" s="419" t="s">
        <v>4210</v>
      </c>
      <c r="C196" s="419">
        <v>1.6476346000000001E-4</v>
      </c>
    </row>
    <row r="197" spans="1:3">
      <c r="A197" s="419" t="s">
        <v>4213</v>
      </c>
      <c r="B197" s="419" t="s">
        <v>4210</v>
      </c>
      <c r="C197" s="419">
        <v>3.3975404E-4</v>
      </c>
    </row>
    <row r="198" spans="1:3">
      <c r="A198" s="419" t="s">
        <v>4214</v>
      </c>
      <c r="B198" s="419" t="s">
        <v>4210</v>
      </c>
      <c r="C198" s="419">
        <v>1.1949702E-2</v>
      </c>
    </row>
    <row r="199" spans="1:3">
      <c r="A199" s="419" t="s">
        <v>4215</v>
      </c>
      <c r="B199" s="419" t="s">
        <v>4216</v>
      </c>
      <c r="C199" s="419">
        <v>4.9478450000000002E-3</v>
      </c>
    </row>
    <row r="200" spans="1:3">
      <c r="A200" s="419" t="s">
        <v>4217</v>
      </c>
      <c r="B200" s="419" t="s">
        <v>4218</v>
      </c>
      <c r="C200" s="1385">
        <v>5.3290459999999998E-5</v>
      </c>
    </row>
    <row r="201" spans="1:3">
      <c r="A201" s="419" t="s">
        <v>4219</v>
      </c>
      <c r="B201" s="419" t="s">
        <v>4220</v>
      </c>
      <c r="C201" s="419">
        <v>8.0812035999999997E-3</v>
      </c>
    </row>
    <row r="202" spans="1:3">
      <c r="A202" s="419" t="s">
        <v>4221</v>
      </c>
      <c r="B202" s="419" t="s">
        <v>449</v>
      </c>
      <c r="C202" s="419">
        <v>3.3926920999999998E-4</v>
      </c>
    </row>
    <row r="206" spans="1:3">
      <c r="A206" s="419" t="s">
        <v>4017</v>
      </c>
      <c r="B206" s="419" t="s">
        <v>4018</v>
      </c>
    </row>
    <row r="207" spans="1:3">
      <c r="A207" s="419" t="s">
        <v>4020</v>
      </c>
      <c r="B207" s="419" t="s">
        <v>4021</v>
      </c>
    </row>
    <row r="208" spans="1:3">
      <c r="A208" s="419" t="s">
        <v>4023</v>
      </c>
      <c r="B208" s="419" t="s">
        <v>4183</v>
      </c>
    </row>
    <row r="209" spans="1:13">
      <c r="A209" s="419" t="s">
        <v>4026</v>
      </c>
      <c r="B209" s="419" t="s">
        <v>4184</v>
      </c>
    </row>
    <row r="210" spans="1:13">
      <c r="A210" s="419" t="s">
        <v>4029</v>
      </c>
      <c r="B210" s="419" t="s">
        <v>4030</v>
      </c>
    </row>
    <row r="211" spans="1:13">
      <c r="A211" s="419" t="s">
        <v>4032</v>
      </c>
      <c r="B211" s="419" t="s">
        <v>4033</v>
      </c>
    </row>
    <row r="212" spans="1:13">
      <c r="A212" s="419" t="s">
        <v>4035</v>
      </c>
      <c r="B212" s="419" t="s">
        <v>127</v>
      </c>
    </row>
    <row r="213" spans="1:13">
      <c r="A213" s="419" t="s">
        <v>4037</v>
      </c>
      <c r="B213" s="419" t="s">
        <v>127</v>
      </c>
    </row>
    <row r="214" spans="1:13">
      <c r="A214" s="419" t="s">
        <v>4039</v>
      </c>
      <c r="B214" s="419" t="s">
        <v>4040</v>
      </c>
    </row>
    <row r="215" spans="1:13">
      <c r="A215" s="419" t="s">
        <v>4042</v>
      </c>
      <c r="B215" s="419" t="s">
        <v>4043</v>
      </c>
    </row>
    <row r="217" spans="1:13">
      <c r="A217" s="419" t="s">
        <v>4040</v>
      </c>
      <c r="B217" s="419" t="s">
        <v>4049</v>
      </c>
      <c r="C217" s="419" t="s">
        <v>87</v>
      </c>
      <c r="D217" s="419" t="s">
        <v>4185</v>
      </c>
      <c r="E217" s="419" t="s">
        <v>4186</v>
      </c>
      <c r="F217" s="419" t="s">
        <v>4187</v>
      </c>
      <c r="G217" s="419" t="s">
        <v>4188</v>
      </c>
      <c r="H217" s="419" t="s">
        <v>4189</v>
      </c>
      <c r="I217" s="419" t="s">
        <v>4190</v>
      </c>
      <c r="J217" s="419" t="s">
        <v>4191</v>
      </c>
      <c r="K217" s="419" t="s">
        <v>4192</v>
      </c>
      <c r="L217" s="419" t="s">
        <v>4257</v>
      </c>
      <c r="M217" s="419" t="s">
        <v>4258</v>
      </c>
    </row>
    <row r="218" spans="1:13">
      <c r="A218" s="419" t="s">
        <v>4193</v>
      </c>
      <c r="B218" s="419" t="s">
        <v>4058</v>
      </c>
      <c r="C218" s="419">
        <v>3.9770797999999998</v>
      </c>
      <c r="D218" s="419">
        <v>0</v>
      </c>
      <c r="E218" s="419">
        <v>2.1329126</v>
      </c>
      <c r="F218" s="419">
        <v>1.0251123</v>
      </c>
      <c r="G218" s="419">
        <v>1.4829512E-2</v>
      </c>
      <c r="H218" s="419">
        <v>1.4474969000000001E-2</v>
      </c>
      <c r="I218" s="419">
        <v>-1.5616331999999999</v>
      </c>
      <c r="J218" s="419">
        <v>-0.39220345000000001</v>
      </c>
      <c r="K218" s="419">
        <v>0.76013498000000002</v>
      </c>
      <c r="L218" s="419">
        <v>1.8588391</v>
      </c>
      <c r="M218" s="419">
        <v>0.12461295999999999</v>
      </c>
    </row>
    <row r="219" spans="1:13">
      <c r="A219" s="419" t="s">
        <v>4194</v>
      </c>
      <c r="B219" s="419" t="s">
        <v>4195</v>
      </c>
      <c r="C219" s="1385">
        <v>5.106537E-8</v>
      </c>
      <c r="D219" s="419">
        <v>0</v>
      </c>
      <c r="E219" s="1385">
        <v>-1.0241798E-8</v>
      </c>
      <c r="F219" s="1385">
        <v>-2.3011412000000002E-9</v>
      </c>
      <c r="G219" s="1385">
        <v>1.6534389E-7</v>
      </c>
      <c r="H219" s="1385">
        <v>1.6549718000000001E-7</v>
      </c>
      <c r="I219" s="1385">
        <v>-1.144555E-7</v>
      </c>
      <c r="J219" s="1385">
        <v>-2.8040856000000002E-7</v>
      </c>
      <c r="K219" s="1385">
        <v>5.2525394000000002E-8</v>
      </c>
      <c r="L219" s="1385">
        <v>6.7582000000000003E-8</v>
      </c>
      <c r="M219" s="1385">
        <v>7.5239072000000003E-9</v>
      </c>
    </row>
    <row r="220" spans="1:13">
      <c r="A220" s="419" t="s">
        <v>4196</v>
      </c>
      <c r="B220" s="419" t="s">
        <v>4197</v>
      </c>
      <c r="C220" s="419">
        <v>-3.6381573</v>
      </c>
      <c r="D220" s="419">
        <v>0</v>
      </c>
      <c r="E220" s="1385">
        <v>-5.6710475000000004E-6</v>
      </c>
      <c r="F220" s="1385">
        <v>4.0040728999999999E-7</v>
      </c>
      <c r="G220" s="419">
        <v>1.6643517000000001E-4</v>
      </c>
      <c r="H220" s="419">
        <v>1.5750224E-4</v>
      </c>
      <c r="I220" s="419">
        <v>-6.8321058000000004E-2</v>
      </c>
      <c r="J220" s="419">
        <v>-3.5733009999999998</v>
      </c>
      <c r="K220" s="419">
        <v>1.2094122000000001E-3</v>
      </c>
      <c r="L220" s="419">
        <v>1.5331934000000001E-3</v>
      </c>
      <c r="M220" s="419">
        <v>4.0348726E-4</v>
      </c>
    </row>
    <row r="221" spans="1:13">
      <c r="A221" s="419" t="s">
        <v>4198</v>
      </c>
      <c r="B221" s="419" t="s">
        <v>4199</v>
      </c>
      <c r="C221" s="419">
        <v>8.0206793999999994E-3</v>
      </c>
      <c r="D221" s="419">
        <v>0</v>
      </c>
      <c r="E221" s="419">
        <v>8.3268109000000003E-3</v>
      </c>
      <c r="F221" s="419">
        <v>4.0008732999999999E-3</v>
      </c>
      <c r="G221" s="419">
        <v>1.9244396999999999E-4</v>
      </c>
      <c r="H221" s="419">
        <v>1.916384E-4</v>
      </c>
      <c r="I221" s="419">
        <v>-2.7505322E-3</v>
      </c>
      <c r="J221" s="419">
        <v>-2.2555040999999998E-3</v>
      </c>
      <c r="K221" s="419">
        <v>1.1156786E-4</v>
      </c>
      <c r="L221" s="419">
        <v>1.2200361000000001E-4</v>
      </c>
      <c r="M221" s="1385">
        <v>8.1377645999999997E-5</v>
      </c>
    </row>
    <row r="222" spans="1:13">
      <c r="A222" s="419" t="s">
        <v>4200</v>
      </c>
      <c r="B222" s="419" t="s">
        <v>4201</v>
      </c>
      <c r="C222" s="419">
        <v>-1.7170978E-3</v>
      </c>
      <c r="D222" s="419">
        <v>0</v>
      </c>
      <c r="E222" s="1385">
        <v>3.7020656999999998E-5</v>
      </c>
      <c r="F222" s="1385">
        <v>2.4587946000000001E-5</v>
      </c>
      <c r="G222" s="1385">
        <v>3.4073581E-5</v>
      </c>
      <c r="H222" s="1385">
        <v>3.3491243E-5</v>
      </c>
      <c r="I222" s="419">
        <v>-7.6520642999999995E-4</v>
      </c>
      <c r="J222" s="419">
        <v>-1.2391673999999999E-3</v>
      </c>
      <c r="K222" s="1385">
        <v>5.3800941000000001E-5</v>
      </c>
      <c r="L222" s="1385">
        <v>7.8174723999999994E-5</v>
      </c>
      <c r="M222" s="1385">
        <v>2.6126991000000001E-5</v>
      </c>
    </row>
    <row r="223" spans="1:13">
      <c r="A223" s="419" t="s">
        <v>4202</v>
      </c>
      <c r="B223" s="419" t="s">
        <v>4199</v>
      </c>
      <c r="C223" s="419">
        <v>1.3436099999999999E-2</v>
      </c>
      <c r="D223" s="419">
        <v>0</v>
      </c>
      <c r="E223" s="419">
        <v>1.224684E-2</v>
      </c>
      <c r="F223" s="419">
        <v>5.8746757E-3</v>
      </c>
      <c r="G223" s="419">
        <v>1.9324523000000001E-4</v>
      </c>
      <c r="H223" s="419">
        <v>1.9242670000000001E-4</v>
      </c>
      <c r="I223" s="419">
        <v>-3.0969368000000001E-3</v>
      </c>
      <c r="J223" s="419">
        <v>-2.2943575000000001E-3</v>
      </c>
      <c r="K223" s="419">
        <v>1.1335060000000001E-4</v>
      </c>
      <c r="L223" s="419">
        <v>1.2386041000000001E-4</v>
      </c>
      <c r="M223" s="1385">
        <v>8.2995494000000005E-5</v>
      </c>
    </row>
    <row r="224" spans="1:13">
      <c r="A224" s="419" t="s">
        <v>4203</v>
      </c>
      <c r="B224" s="419" t="s">
        <v>4204</v>
      </c>
      <c r="C224" s="419">
        <v>-5.5701784000000004E-3</v>
      </c>
      <c r="D224" s="419">
        <v>0</v>
      </c>
      <c r="E224" s="1385">
        <v>8.7996268000000002E-5</v>
      </c>
      <c r="F224" s="1385">
        <v>6.2535549999999995E-5</v>
      </c>
      <c r="G224" s="1385">
        <v>8.6607039999999995E-5</v>
      </c>
      <c r="H224" s="1385">
        <v>8.5041618999999994E-5</v>
      </c>
      <c r="I224" s="419">
        <v>-3.3882120999999999E-3</v>
      </c>
      <c r="J224" s="419">
        <v>-2.8460771999999999E-3</v>
      </c>
      <c r="K224" s="419">
        <v>1.142802E-4</v>
      </c>
      <c r="L224" s="419">
        <v>1.7356811E-4</v>
      </c>
      <c r="M224" s="1385">
        <v>5.4082066000000002E-5</v>
      </c>
    </row>
    <row r="225" spans="1:13">
      <c r="A225" s="419" t="s">
        <v>4205</v>
      </c>
      <c r="B225" s="419" t="s">
        <v>4206</v>
      </c>
      <c r="C225" s="419">
        <v>-4.2161993E-4</v>
      </c>
      <c r="D225" s="419">
        <v>0</v>
      </c>
      <c r="E225" s="1385">
        <v>-2.7684268000000002E-7</v>
      </c>
      <c r="F225" s="1385">
        <v>-8.9285215000000004E-10</v>
      </c>
      <c r="G225" s="1385">
        <v>6.6456961000000004E-6</v>
      </c>
      <c r="H225" s="1385">
        <v>6.545297E-6</v>
      </c>
      <c r="I225" s="419">
        <v>-1.0890678E-4</v>
      </c>
      <c r="J225" s="419">
        <v>-3.5030171E-4</v>
      </c>
      <c r="K225" s="1385">
        <v>1.6414317999999999E-5</v>
      </c>
      <c r="L225" s="1385">
        <v>6.5387237999999997E-6</v>
      </c>
      <c r="M225" s="1385">
        <v>1.7222616000000001E-6</v>
      </c>
    </row>
    <row r="226" spans="1:13">
      <c r="A226" s="419" t="s">
        <v>4207</v>
      </c>
      <c r="B226" s="419" t="s">
        <v>4208</v>
      </c>
      <c r="C226" s="419">
        <v>1.6827711E-3</v>
      </c>
      <c r="D226" s="419">
        <v>0</v>
      </c>
      <c r="E226" s="1385">
        <v>-9.7529119000000002E-7</v>
      </c>
      <c r="F226" s="1385">
        <v>-4.3719512E-7</v>
      </c>
      <c r="G226" s="1385">
        <v>3.4323248999999998E-6</v>
      </c>
      <c r="H226" s="1385">
        <v>3.431319E-6</v>
      </c>
      <c r="I226" s="1385">
        <v>-1.3417704E-5</v>
      </c>
      <c r="J226" s="1385">
        <v>-8.3894524E-5</v>
      </c>
      <c r="K226" s="419">
        <v>8.2265593000000001E-4</v>
      </c>
      <c r="L226" s="419">
        <v>6.2872191999999996E-4</v>
      </c>
      <c r="M226" s="419">
        <v>3.2325430000000003E-4</v>
      </c>
    </row>
    <row r="227" spans="1:13">
      <c r="A227" s="419" t="s">
        <v>4209</v>
      </c>
      <c r="B227" s="419" t="s">
        <v>4210</v>
      </c>
      <c r="C227" s="419">
        <v>-17.706738000000001</v>
      </c>
      <c r="D227" s="419">
        <v>0</v>
      </c>
      <c r="E227" s="419">
        <v>4.8329263999999997E-3</v>
      </c>
      <c r="F227" s="419">
        <v>7.1915026999999996E-3</v>
      </c>
      <c r="G227" s="419">
        <v>0.11817651</v>
      </c>
      <c r="H227" s="419">
        <v>4.1702575999999998E-2</v>
      </c>
      <c r="I227" s="419">
        <v>-2.7740212</v>
      </c>
      <c r="J227" s="419">
        <v>-15.248886000000001</v>
      </c>
      <c r="K227" s="419">
        <v>5.0982162999999997E-2</v>
      </c>
      <c r="L227" s="419">
        <v>5.6944740000000001E-2</v>
      </c>
      <c r="M227" s="419">
        <v>3.6339248999999997E-2</v>
      </c>
    </row>
    <row r="228" spans="1:13">
      <c r="A228" s="419" t="s">
        <v>4211</v>
      </c>
      <c r="B228" s="419" t="s">
        <v>4210</v>
      </c>
      <c r="C228" s="419">
        <v>0.32429584</v>
      </c>
      <c r="D228" s="419">
        <v>0</v>
      </c>
      <c r="E228" s="419">
        <v>-1.184531E-3</v>
      </c>
      <c r="F228" s="419">
        <v>-5.1801867999999997E-4</v>
      </c>
      <c r="G228" s="419">
        <v>6.2882966999999998E-2</v>
      </c>
      <c r="H228" s="419">
        <v>2.1225123000000001E-3</v>
      </c>
      <c r="I228" s="419">
        <v>-5.2073836999999998E-2</v>
      </c>
      <c r="J228" s="419">
        <v>-0.29190861000000001</v>
      </c>
      <c r="K228" s="419">
        <v>0.43245809000000002</v>
      </c>
      <c r="L228" s="419">
        <v>1.8324455E-2</v>
      </c>
      <c r="M228" s="419">
        <v>0.15419282000000001</v>
      </c>
    </row>
    <row r="229" spans="1:13">
      <c r="A229" s="419" t="s">
        <v>4212</v>
      </c>
      <c r="B229" s="419" t="s">
        <v>4210</v>
      </c>
      <c r="C229" s="419">
        <v>0.41777126999999997</v>
      </c>
      <c r="D229" s="419">
        <v>0</v>
      </c>
      <c r="E229" s="419">
        <v>-1.6106864E-3</v>
      </c>
      <c r="F229" s="419">
        <v>-6.9532847999999997E-4</v>
      </c>
      <c r="G229" s="419">
        <v>7.8506038E-2</v>
      </c>
      <c r="H229" s="419">
        <v>2.8414282000000001E-3</v>
      </c>
      <c r="I229" s="419">
        <v>-6.6851806999999999E-2</v>
      </c>
      <c r="J229" s="419">
        <v>-0.40300638</v>
      </c>
      <c r="K229" s="419">
        <v>0.56720241999999998</v>
      </c>
      <c r="L229" s="419">
        <v>2.4458094999999999E-2</v>
      </c>
      <c r="M229" s="419">
        <v>0.2169275</v>
      </c>
    </row>
    <row r="230" spans="1:13">
      <c r="A230" s="419" t="s">
        <v>4213</v>
      </c>
      <c r="B230" s="419" t="s">
        <v>4210</v>
      </c>
      <c r="C230" s="419">
        <v>0.74751986000000004</v>
      </c>
      <c r="D230" s="419">
        <v>0</v>
      </c>
      <c r="E230" s="419">
        <v>-2.5587077000000001E-4</v>
      </c>
      <c r="F230" s="1385">
        <v>4.3238884E-5</v>
      </c>
      <c r="G230" s="419">
        <v>0.90343673999999996</v>
      </c>
      <c r="H230" s="419">
        <v>1.8114444000000001E-3</v>
      </c>
      <c r="I230" s="419">
        <v>-4.8121595000000003E-2</v>
      </c>
      <c r="J230" s="419">
        <v>-0.12847695000000001</v>
      </c>
      <c r="K230" s="419">
        <v>1.5763890999999999E-2</v>
      </c>
      <c r="L230" s="419">
        <v>1.9570983000000001E-3</v>
      </c>
      <c r="M230" s="419">
        <v>1.3618599999999999E-3</v>
      </c>
    </row>
    <row r="231" spans="1:13">
      <c r="A231" s="419" t="s">
        <v>4214</v>
      </c>
      <c r="B231" s="419" t="s">
        <v>4210</v>
      </c>
      <c r="C231" s="419">
        <v>1.1039066</v>
      </c>
      <c r="D231" s="419">
        <v>0</v>
      </c>
      <c r="E231" s="419">
        <v>-9.6536238999999996E-2</v>
      </c>
      <c r="F231" s="419">
        <v>-4.3680389E-2</v>
      </c>
      <c r="G231" s="419">
        <v>0.10280884</v>
      </c>
      <c r="H231" s="419">
        <v>9.4627121999999994E-2</v>
      </c>
      <c r="I231" s="419">
        <v>-0.70068794000000001</v>
      </c>
      <c r="J231" s="419">
        <v>-10.647173</v>
      </c>
      <c r="K231" s="419">
        <v>9.2951312999999995</v>
      </c>
      <c r="L231" s="419">
        <v>0.58299780000000001</v>
      </c>
      <c r="M231" s="419">
        <v>2.5164192999999999</v>
      </c>
    </row>
    <row r="232" spans="1:13">
      <c r="A232" s="419" t="s">
        <v>4215</v>
      </c>
      <c r="B232" s="419" t="s">
        <v>4216</v>
      </c>
      <c r="C232" s="419">
        <v>-0.69250270999999997</v>
      </c>
      <c r="D232" s="419">
        <v>0</v>
      </c>
      <c r="E232" s="419">
        <v>6.3680639999999999E-4</v>
      </c>
      <c r="F232" s="419">
        <v>1.1230833000000001E-3</v>
      </c>
      <c r="G232" s="419">
        <v>9.8170625000000003E-4</v>
      </c>
      <c r="H232" s="419">
        <v>9.2159752999999996E-4</v>
      </c>
      <c r="I232" s="419">
        <v>-6.2492038E-2</v>
      </c>
      <c r="J232" s="419">
        <v>-0.64680382999999997</v>
      </c>
      <c r="K232" s="419">
        <v>4.6054217E-3</v>
      </c>
      <c r="L232" s="419">
        <v>4.9478450000000002E-3</v>
      </c>
      <c r="M232" s="419">
        <v>3.5766999999999999E-3</v>
      </c>
    </row>
    <row r="233" spans="1:13">
      <c r="A233" s="419" t="s">
        <v>4217</v>
      </c>
      <c r="B233" s="419" t="s">
        <v>4218</v>
      </c>
      <c r="C233" s="419">
        <v>-0.55015599000000004</v>
      </c>
      <c r="D233" s="419">
        <v>0</v>
      </c>
      <c r="E233" s="1385">
        <v>9.0016598000000002E-8</v>
      </c>
      <c r="F233" s="1385">
        <v>1.9297432E-5</v>
      </c>
      <c r="G233" s="419">
        <v>1.4971383000000001E-4</v>
      </c>
      <c r="H233" s="419">
        <v>1.4653314E-4</v>
      </c>
      <c r="I233" s="419">
        <v>-3.6420711999999998E-3</v>
      </c>
      <c r="J233" s="419">
        <v>-0.54697830999999997</v>
      </c>
      <c r="K233" s="1385">
        <v>5.2543872E-5</v>
      </c>
      <c r="L233" s="1385">
        <v>5.3290459999999998E-5</v>
      </c>
      <c r="M233" s="1385">
        <v>4.2916627999999998E-5</v>
      </c>
    </row>
    <row r="234" spans="1:13">
      <c r="A234" s="419" t="s">
        <v>4219</v>
      </c>
      <c r="B234" s="419" t="s">
        <v>4220</v>
      </c>
      <c r="C234" s="419">
        <v>-1.5659194000000001</v>
      </c>
      <c r="D234" s="419">
        <v>0</v>
      </c>
      <c r="E234" s="419">
        <v>-1.0846835000000001E-2</v>
      </c>
      <c r="F234" s="419">
        <v>-2.0507451000000001E-3</v>
      </c>
      <c r="G234" s="419">
        <v>2.9205029E-3</v>
      </c>
      <c r="H234" s="419">
        <v>2.8594744E-3</v>
      </c>
      <c r="I234" s="419">
        <v>-1.4703872</v>
      </c>
      <c r="J234" s="419">
        <v>-0.10960304</v>
      </c>
      <c r="K234" s="419">
        <v>7.4374343999999998E-3</v>
      </c>
      <c r="L234" s="419">
        <v>8.0812035999999997E-3</v>
      </c>
      <c r="M234" s="419">
        <v>5.6698119000000002E-3</v>
      </c>
    </row>
    <row r="235" spans="1:13">
      <c r="A235" s="419" t="s">
        <v>4221</v>
      </c>
      <c r="B235" s="419" t="s">
        <v>449</v>
      </c>
      <c r="C235" s="419">
        <v>-0.34891161999999998</v>
      </c>
      <c r="D235" s="419">
        <v>0</v>
      </c>
      <c r="E235" s="419">
        <v>-0.11304865</v>
      </c>
      <c r="F235" s="419">
        <v>-5.2332468E-2</v>
      </c>
      <c r="G235" s="419">
        <v>-2.0411796000000001E-4</v>
      </c>
      <c r="H235" s="419">
        <v>-2.1013862999999999E-4</v>
      </c>
      <c r="I235" s="419">
        <v>-2.1554283E-2</v>
      </c>
      <c r="J235" s="419">
        <v>-0.16248324</v>
      </c>
      <c r="K235" s="419">
        <v>3.1819599000000001E-4</v>
      </c>
      <c r="L235" s="419">
        <v>3.3926920999999998E-4</v>
      </c>
      <c r="M235" s="419">
        <v>2.6381294000000003E-4</v>
      </c>
    </row>
    <row r="239" spans="1:13">
      <c r="A239" s="419" t="s">
        <v>4017</v>
      </c>
      <c r="B239" s="419" t="s">
        <v>4018</v>
      </c>
    </row>
    <row r="240" spans="1:13">
      <c r="A240" s="419" t="s">
        <v>4020</v>
      </c>
      <c r="B240" s="419" t="s">
        <v>4021</v>
      </c>
    </row>
    <row r="241" spans="1:14">
      <c r="A241" s="419" t="s">
        <v>4023</v>
      </c>
      <c r="B241" s="419" t="s">
        <v>4183</v>
      </c>
    </row>
    <row r="242" spans="1:14">
      <c r="A242" s="419" t="s">
        <v>4026</v>
      </c>
      <c r="B242" s="419" t="s">
        <v>4184</v>
      </c>
    </row>
    <row r="243" spans="1:14">
      <c r="A243" s="419" t="s">
        <v>4029</v>
      </c>
      <c r="B243" s="419" t="s">
        <v>4030</v>
      </c>
    </row>
    <row r="244" spans="1:14">
      <c r="A244" s="419" t="s">
        <v>4032</v>
      </c>
      <c r="B244" s="419" t="s">
        <v>4033</v>
      </c>
    </row>
    <row r="245" spans="1:14">
      <c r="A245" s="419" t="s">
        <v>4035</v>
      </c>
      <c r="B245" s="419" t="s">
        <v>127</v>
      </c>
    </row>
    <row r="246" spans="1:14">
      <c r="A246" s="419" t="s">
        <v>4037</v>
      </c>
      <c r="B246" s="419" t="s">
        <v>127</v>
      </c>
    </row>
    <row r="247" spans="1:14">
      <c r="A247" s="419" t="s">
        <v>4039</v>
      </c>
      <c r="B247" s="419" t="s">
        <v>4040</v>
      </c>
    </row>
    <row r="248" spans="1:14">
      <c r="A248" s="419" t="s">
        <v>4042</v>
      </c>
      <c r="B248" s="419" t="s">
        <v>4043</v>
      </c>
    </row>
    <row r="250" spans="1:14">
      <c r="A250" s="419" t="s">
        <v>4040</v>
      </c>
      <c r="B250" s="419" t="s">
        <v>4049</v>
      </c>
      <c r="C250" s="419" t="s">
        <v>87</v>
      </c>
      <c r="D250" s="419" t="s">
        <v>4185</v>
      </c>
      <c r="E250" s="419" t="s">
        <v>4186</v>
      </c>
      <c r="F250" s="419" t="s">
        <v>4187</v>
      </c>
      <c r="G250" s="419" t="s">
        <v>4188</v>
      </c>
      <c r="H250" s="419" t="s">
        <v>4189</v>
      </c>
      <c r="I250" s="419" t="s">
        <v>4190</v>
      </c>
      <c r="J250" s="419" t="s">
        <v>4191</v>
      </c>
      <c r="K250" s="419" t="s">
        <v>4192</v>
      </c>
      <c r="L250" s="419" t="s">
        <v>4257</v>
      </c>
      <c r="M250" s="419" t="s">
        <v>4258</v>
      </c>
      <c r="N250" s="419" t="s">
        <v>4259</v>
      </c>
    </row>
    <row r="251" spans="1:14">
      <c r="A251" s="419" t="s">
        <v>4193</v>
      </c>
      <c r="B251" s="419" t="s">
        <v>4058</v>
      </c>
      <c r="C251" s="419">
        <v>5.9935295000000002</v>
      </c>
      <c r="D251" s="419">
        <v>0</v>
      </c>
      <c r="E251" s="419">
        <v>2.1329126</v>
      </c>
      <c r="F251" s="419">
        <v>1.0251123</v>
      </c>
      <c r="G251" s="419">
        <v>1.4829512E-2</v>
      </c>
      <c r="H251" s="419">
        <v>1.4474969000000001E-2</v>
      </c>
      <c r="I251" s="419">
        <v>-1.5616331000000001</v>
      </c>
      <c r="J251" s="419">
        <v>-0.39220345000000001</v>
      </c>
      <c r="K251" s="419">
        <v>0.76013498999999995</v>
      </c>
      <c r="L251" s="419">
        <v>1.8588391</v>
      </c>
      <c r="M251" s="419">
        <v>0.12461295999999999</v>
      </c>
      <c r="N251" s="419">
        <v>2.0164496999999999</v>
      </c>
    </row>
    <row r="252" spans="1:14">
      <c r="A252" s="419" t="s">
        <v>4194</v>
      </c>
      <c r="B252" s="419" t="s">
        <v>4195</v>
      </c>
      <c r="C252" s="1385">
        <v>3.3326756999999999E-7</v>
      </c>
      <c r="D252" s="419">
        <v>0</v>
      </c>
      <c r="E252" s="1385">
        <v>-1.0241798E-8</v>
      </c>
      <c r="F252" s="1385">
        <v>-2.3011412000000002E-9</v>
      </c>
      <c r="G252" s="1385">
        <v>1.6534389E-7</v>
      </c>
      <c r="H252" s="1385">
        <v>1.6549718000000001E-7</v>
      </c>
      <c r="I252" s="1385">
        <v>-1.144555E-7</v>
      </c>
      <c r="J252" s="1385">
        <v>-2.8040856000000002E-7</v>
      </c>
      <c r="K252" s="1385">
        <v>5.2525394000000002E-8</v>
      </c>
      <c r="L252" s="1385">
        <v>6.7582000000000003E-8</v>
      </c>
      <c r="M252" s="1385">
        <v>7.5239072000000003E-9</v>
      </c>
      <c r="N252" s="1385">
        <v>2.8220220000000001E-7</v>
      </c>
    </row>
    <row r="253" spans="1:14">
      <c r="A253" s="419" t="s">
        <v>4196</v>
      </c>
      <c r="B253" s="419" t="s">
        <v>4197</v>
      </c>
      <c r="C253" s="419">
        <v>-3.6305714999999998</v>
      </c>
      <c r="D253" s="419">
        <v>0</v>
      </c>
      <c r="E253" s="1385">
        <v>-5.6710474000000004E-6</v>
      </c>
      <c r="F253" s="1385">
        <v>4.0040725999999998E-7</v>
      </c>
      <c r="G253" s="419">
        <v>1.6643517000000001E-4</v>
      </c>
      <c r="H253" s="419">
        <v>1.5750224E-4</v>
      </c>
      <c r="I253" s="419">
        <v>-6.8321058000000004E-2</v>
      </c>
      <c r="J253" s="419">
        <v>-3.5733009</v>
      </c>
      <c r="K253" s="419">
        <v>1.2094122000000001E-3</v>
      </c>
      <c r="L253" s="419">
        <v>1.5331934000000001E-3</v>
      </c>
      <c r="M253" s="419">
        <v>4.0348726E-4</v>
      </c>
      <c r="N253" s="419">
        <v>7.5857216999999999E-3</v>
      </c>
    </row>
    <row r="254" spans="1:14">
      <c r="A254" s="419" t="s">
        <v>4198</v>
      </c>
      <c r="B254" s="419" t="s">
        <v>4199</v>
      </c>
      <c r="C254" s="419">
        <v>8.6584565999999995E-3</v>
      </c>
      <c r="D254" s="419">
        <v>0</v>
      </c>
      <c r="E254" s="419">
        <v>8.3268109000000003E-3</v>
      </c>
      <c r="F254" s="419">
        <v>4.0008732999999999E-3</v>
      </c>
      <c r="G254" s="419">
        <v>1.9244396999999999E-4</v>
      </c>
      <c r="H254" s="419">
        <v>1.916384E-4</v>
      </c>
      <c r="I254" s="419">
        <v>-2.7505321E-3</v>
      </c>
      <c r="J254" s="419">
        <v>-2.2555040999999998E-3</v>
      </c>
      <c r="K254" s="419">
        <v>1.1156786E-4</v>
      </c>
      <c r="L254" s="419">
        <v>1.2200361000000001E-4</v>
      </c>
      <c r="M254" s="1385">
        <v>8.1377645999999997E-5</v>
      </c>
      <c r="N254" s="419">
        <v>6.3777720000000003E-4</v>
      </c>
    </row>
    <row r="255" spans="1:14">
      <c r="A255" s="419" t="s">
        <v>4200</v>
      </c>
      <c r="B255" s="419" t="s">
        <v>4201</v>
      </c>
      <c r="C255" s="419">
        <v>-1.4499095E-3</v>
      </c>
      <c r="D255" s="419">
        <v>0</v>
      </c>
      <c r="E255" s="1385">
        <v>3.7020656999999998E-5</v>
      </c>
      <c r="F255" s="1385">
        <v>2.4587947000000001E-5</v>
      </c>
      <c r="G255" s="1385">
        <v>3.4073581E-5</v>
      </c>
      <c r="H255" s="1385">
        <v>3.3491243E-5</v>
      </c>
      <c r="I255" s="419">
        <v>-7.6520642999999995E-4</v>
      </c>
      <c r="J255" s="419">
        <v>-1.2391673999999999E-3</v>
      </c>
      <c r="K255" s="1385">
        <v>5.3800941000000001E-5</v>
      </c>
      <c r="L255" s="1385">
        <v>7.8174723999999994E-5</v>
      </c>
      <c r="M255" s="1385">
        <v>2.6126991000000001E-5</v>
      </c>
      <c r="N255" s="419">
        <v>2.6718826000000001E-4</v>
      </c>
    </row>
    <row r="256" spans="1:14">
      <c r="A256" s="419" t="s">
        <v>4202</v>
      </c>
      <c r="B256" s="419" t="s">
        <v>4199</v>
      </c>
      <c r="C256" s="419">
        <v>1.4080868999999999E-2</v>
      </c>
      <c r="D256" s="419">
        <v>0</v>
      </c>
      <c r="E256" s="419">
        <v>1.224684E-2</v>
      </c>
      <c r="F256" s="419">
        <v>5.8746757E-3</v>
      </c>
      <c r="G256" s="419">
        <v>1.9324523000000001E-4</v>
      </c>
      <c r="H256" s="419">
        <v>1.9242670000000001E-4</v>
      </c>
      <c r="I256" s="419">
        <v>-3.0969368000000001E-3</v>
      </c>
      <c r="J256" s="419">
        <v>-2.2943575000000001E-3</v>
      </c>
      <c r="K256" s="419">
        <v>1.1335060000000001E-4</v>
      </c>
      <c r="L256" s="419">
        <v>1.2386041000000001E-4</v>
      </c>
      <c r="M256" s="1385">
        <v>8.2995494000000005E-5</v>
      </c>
      <c r="N256" s="419">
        <v>6.4476883999999999E-4</v>
      </c>
    </row>
    <row r="257" spans="1:14">
      <c r="A257" s="419" t="s">
        <v>4203</v>
      </c>
      <c r="B257" s="419" t="s">
        <v>4204</v>
      </c>
      <c r="C257" s="419">
        <v>-4.9607438000000004E-3</v>
      </c>
      <c r="D257" s="419">
        <v>0</v>
      </c>
      <c r="E257" s="1385">
        <v>8.7996268999999998E-5</v>
      </c>
      <c r="F257" s="1385">
        <v>6.2535551000000004E-5</v>
      </c>
      <c r="G257" s="1385">
        <v>8.6607039999999995E-5</v>
      </c>
      <c r="H257" s="1385">
        <v>8.5041618999999994E-5</v>
      </c>
      <c r="I257" s="419">
        <v>-3.3882120999999999E-3</v>
      </c>
      <c r="J257" s="419">
        <v>-2.8460771999999999E-3</v>
      </c>
      <c r="K257" s="419">
        <v>1.142802E-4</v>
      </c>
      <c r="L257" s="419">
        <v>1.7356811E-4</v>
      </c>
      <c r="M257" s="1385">
        <v>5.4082066000000002E-5</v>
      </c>
      <c r="N257" s="419">
        <v>6.0943452000000004E-4</v>
      </c>
    </row>
    <row r="258" spans="1:14">
      <c r="A258" s="419" t="s">
        <v>4205</v>
      </c>
      <c r="B258" s="419" t="s">
        <v>4206</v>
      </c>
      <c r="C258" s="419">
        <v>-3.6866703999999999E-4</v>
      </c>
      <c r="D258" s="419">
        <v>0</v>
      </c>
      <c r="E258" s="1385">
        <v>-2.7684268000000002E-7</v>
      </c>
      <c r="F258" s="1385">
        <v>-8.9285493999999995E-10</v>
      </c>
      <c r="G258" s="1385">
        <v>6.6456961000000004E-6</v>
      </c>
      <c r="H258" s="1385">
        <v>6.545297E-6</v>
      </c>
      <c r="I258" s="419">
        <v>-1.0890678E-4</v>
      </c>
      <c r="J258" s="419">
        <v>-3.5030171E-4</v>
      </c>
      <c r="K258" s="1385">
        <v>1.6414317999999999E-5</v>
      </c>
      <c r="L258" s="1385">
        <v>6.5387237999999997E-6</v>
      </c>
      <c r="M258" s="1385">
        <v>1.7222616000000001E-6</v>
      </c>
      <c r="N258" s="1385">
        <v>5.2952889000000002E-5</v>
      </c>
    </row>
    <row r="259" spans="1:14">
      <c r="A259" s="419" t="s">
        <v>4207</v>
      </c>
      <c r="B259" s="419" t="s">
        <v>4208</v>
      </c>
      <c r="C259" s="419">
        <v>1.6986849000000001E-3</v>
      </c>
      <c r="D259" s="419">
        <v>0</v>
      </c>
      <c r="E259" s="1385">
        <v>-9.7529119000000002E-7</v>
      </c>
      <c r="F259" s="1385">
        <v>-4.3719512E-7</v>
      </c>
      <c r="G259" s="1385">
        <v>3.4323248999999998E-6</v>
      </c>
      <c r="H259" s="1385">
        <v>3.431319E-6</v>
      </c>
      <c r="I259" s="1385">
        <v>-1.3417704E-5</v>
      </c>
      <c r="J259" s="1385">
        <v>-8.3894524E-5</v>
      </c>
      <c r="K259" s="419">
        <v>8.2265593000000001E-4</v>
      </c>
      <c r="L259" s="419">
        <v>6.2872191999999996E-4</v>
      </c>
      <c r="M259" s="419">
        <v>3.2325430000000003E-4</v>
      </c>
      <c r="N259" s="1385">
        <v>1.5913805E-5</v>
      </c>
    </row>
    <row r="260" spans="1:14">
      <c r="A260" s="419" t="s">
        <v>4209</v>
      </c>
      <c r="B260" s="419" t="s">
        <v>4210</v>
      </c>
      <c r="C260" s="419">
        <v>-16.332802999999998</v>
      </c>
      <c r="D260" s="419">
        <v>0</v>
      </c>
      <c r="E260" s="419">
        <v>4.8329263999999997E-3</v>
      </c>
      <c r="F260" s="419">
        <v>7.1915026999999996E-3</v>
      </c>
      <c r="G260" s="419">
        <v>0.11817651</v>
      </c>
      <c r="H260" s="419">
        <v>4.1702575999999998E-2</v>
      </c>
      <c r="I260" s="419">
        <v>-2.7740212</v>
      </c>
      <c r="J260" s="419">
        <v>-15.248886000000001</v>
      </c>
      <c r="K260" s="419">
        <v>5.0982162999999997E-2</v>
      </c>
      <c r="L260" s="419">
        <v>5.6944740000000001E-2</v>
      </c>
      <c r="M260" s="419">
        <v>3.6339248999999997E-2</v>
      </c>
      <c r="N260" s="419">
        <v>1.373934</v>
      </c>
    </row>
    <row r="261" spans="1:14">
      <c r="A261" s="419" t="s">
        <v>4211</v>
      </c>
      <c r="B261" s="419" t="s">
        <v>4210</v>
      </c>
      <c r="C261" s="419">
        <v>0.35814384999999999</v>
      </c>
      <c r="D261" s="419">
        <v>0</v>
      </c>
      <c r="E261" s="419">
        <v>-1.184531E-3</v>
      </c>
      <c r="F261" s="419">
        <v>-5.1801867999999997E-4</v>
      </c>
      <c r="G261" s="419">
        <v>6.2882966999999998E-2</v>
      </c>
      <c r="H261" s="419">
        <v>2.1225123000000001E-3</v>
      </c>
      <c r="I261" s="419">
        <v>-5.2073836999999998E-2</v>
      </c>
      <c r="J261" s="419">
        <v>-0.29190861000000001</v>
      </c>
      <c r="K261" s="419">
        <v>0.43245809000000002</v>
      </c>
      <c r="L261" s="419">
        <v>1.8324455E-2</v>
      </c>
      <c r="M261" s="419">
        <v>0.15419282000000001</v>
      </c>
      <c r="N261" s="419">
        <v>3.3848008999999998E-2</v>
      </c>
    </row>
    <row r="262" spans="1:14">
      <c r="A262" s="419" t="s">
        <v>4212</v>
      </c>
      <c r="B262" s="419" t="s">
        <v>4210</v>
      </c>
      <c r="C262" s="419">
        <v>0.46305204999999999</v>
      </c>
      <c r="D262" s="419">
        <v>0</v>
      </c>
      <c r="E262" s="419">
        <v>-1.6106864E-3</v>
      </c>
      <c r="F262" s="419">
        <v>-6.9532847999999997E-4</v>
      </c>
      <c r="G262" s="419">
        <v>7.8506038E-2</v>
      </c>
      <c r="H262" s="419">
        <v>2.8414282000000001E-3</v>
      </c>
      <c r="I262" s="419">
        <v>-6.6851806999999999E-2</v>
      </c>
      <c r="J262" s="419">
        <v>-0.40300638999999999</v>
      </c>
      <c r="K262" s="419">
        <v>0.56720241999999998</v>
      </c>
      <c r="L262" s="419">
        <v>2.4458094999999999E-2</v>
      </c>
      <c r="M262" s="419">
        <v>0.2169275</v>
      </c>
      <c r="N262" s="419">
        <v>4.5280779E-2</v>
      </c>
    </row>
    <row r="263" spans="1:14">
      <c r="A263" s="419" t="s">
        <v>4213</v>
      </c>
      <c r="B263" s="419" t="s">
        <v>4210</v>
      </c>
      <c r="C263" s="419">
        <v>0.78315053999999995</v>
      </c>
      <c r="D263" s="419">
        <v>0</v>
      </c>
      <c r="E263" s="419">
        <v>-2.5587077000000001E-4</v>
      </c>
      <c r="F263" s="1385">
        <v>4.3238880000000002E-5</v>
      </c>
      <c r="G263" s="419">
        <v>0.90343673999999996</v>
      </c>
      <c r="H263" s="419">
        <v>1.8114444000000001E-3</v>
      </c>
      <c r="I263" s="419">
        <v>-4.8121593999999997E-2</v>
      </c>
      <c r="J263" s="419">
        <v>-0.12847695000000001</v>
      </c>
      <c r="K263" s="419">
        <v>1.5763890999999999E-2</v>
      </c>
      <c r="L263" s="419">
        <v>1.9570983000000001E-3</v>
      </c>
      <c r="M263" s="419">
        <v>1.3618599999999999E-3</v>
      </c>
      <c r="N263" s="419">
        <v>3.5630678999999998E-2</v>
      </c>
    </row>
    <row r="264" spans="1:14">
      <c r="A264" s="419" t="s">
        <v>4214</v>
      </c>
      <c r="B264" s="419" t="s">
        <v>4210</v>
      </c>
      <c r="C264" s="419">
        <v>4.2876167000000001</v>
      </c>
      <c r="D264" s="419">
        <v>0</v>
      </c>
      <c r="E264" s="419">
        <v>-9.6536238999999996E-2</v>
      </c>
      <c r="F264" s="419">
        <v>-4.3680389E-2</v>
      </c>
      <c r="G264" s="419">
        <v>0.10280884</v>
      </c>
      <c r="H264" s="419">
        <v>9.4627121999999994E-2</v>
      </c>
      <c r="I264" s="419">
        <v>-0.70068794000000001</v>
      </c>
      <c r="J264" s="419">
        <v>-10.647173</v>
      </c>
      <c r="K264" s="419">
        <v>9.2951312999999995</v>
      </c>
      <c r="L264" s="419">
        <v>0.58299780000000001</v>
      </c>
      <c r="M264" s="419">
        <v>2.5164192999999999</v>
      </c>
      <c r="N264" s="419">
        <v>3.1837100999999999</v>
      </c>
    </row>
    <row r="265" spans="1:14">
      <c r="A265" s="419" t="s">
        <v>4215</v>
      </c>
      <c r="B265" s="419" t="s">
        <v>4216</v>
      </c>
      <c r="C265" s="419">
        <v>-0.66566683999999998</v>
      </c>
      <c r="D265" s="419">
        <v>0</v>
      </c>
      <c r="E265" s="419">
        <v>6.3680640999999995E-4</v>
      </c>
      <c r="F265" s="419">
        <v>1.1230833000000001E-3</v>
      </c>
      <c r="G265" s="419">
        <v>9.8170625000000003E-4</v>
      </c>
      <c r="H265" s="419">
        <v>9.2159752E-4</v>
      </c>
      <c r="I265" s="419">
        <v>-6.2492038E-2</v>
      </c>
      <c r="J265" s="419">
        <v>-0.64680382999999997</v>
      </c>
      <c r="K265" s="419">
        <v>4.6054217E-3</v>
      </c>
      <c r="L265" s="419">
        <v>4.9478450000000002E-3</v>
      </c>
      <c r="M265" s="419">
        <v>3.5766999999999999E-3</v>
      </c>
      <c r="N265" s="419">
        <v>2.6835865E-2</v>
      </c>
    </row>
    <row r="266" spans="1:14">
      <c r="A266" s="419" t="s">
        <v>4217</v>
      </c>
      <c r="B266" s="419" t="s">
        <v>4218</v>
      </c>
      <c r="C266" s="419">
        <v>-0.54874588999999996</v>
      </c>
      <c r="D266" s="419">
        <v>0</v>
      </c>
      <c r="E266" s="1385">
        <v>9.0016898000000005E-8</v>
      </c>
      <c r="F266" s="1385">
        <v>1.9297431000000001E-5</v>
      </c>
      <c r="G266" s="419">
        <v>1.4971383000000001E-4</v>
      </c>
      <c r="H266" s="419">
        <v>1.4653314E-4</v>
      </c>
      <c r="I266" s="419">
        <v>-3.6420711999999998E-3</v>
      </c>
      <c r="J266" s="419">
        <v>-0.54697830999999997</v>
      </c>
      <c r="K266" s="1385">
        <v>5.2543872E-5</v>
      </c>
      <c r="L266" s="1385">
        <v>5.3290459999999998E-5</v>
      </c>
      <c r="M266" s="1385">
        <v>4.2916627999999998E-5</v>
      </c>
      <c r="N266" s="419">
        <v>1.4101073E-3</v>
      </c>
    </row>
    <row r="267" spans="1:14">
      <c r="A267" s="419" t="s">
        <v>4219</v>
      </c>
      <c r="B267" s="419" t="s">
        <v>4220</v>
      </c>
      <c r="C267" s="419">
        <v>-1.5255592</v>
      </c>
      <c r="D267" s="419">
        <v>0</v>
      </c>
      <c r="E267" s="419">
        <v>-1.0846835000000001E-2</v>
      </c>
      <c r="F267" s="419">
        <v>-2.0507451000000001E-3</v>
      </c>
      <c r="G267" s="419">
        <v>2.9205029E-3</v>
      </c>
      <c r="H267" s="419">
        <v>2.8594744E-3</v>
      </c>
      <c r="I267" s="419">
        <v>-1.4703872</v>
      </c>
      <c r="J267" s="419">
        <v>-0.10960304</v>
      </c>
      <c r="K267" s="419">
        <v>7.4374343999999998E-3</v>
      </c>
      <c r="L267" s="419">
        <v>8.0812035999999997E-3</v>
      </c>
      <c r="M267" s="419">
        <v>5.6698119000000002E-3</v>
      </c>
      <c r="N267" s="419">
        <v>4.0360251999999999E-2</v>
      </c>
    </row>
    <row r="268" spans="1:14">
      <c r="A268" s="419" t="s">
        <v>4221</v>
      </c>
      <c r="B268" s="419" t="s">
        <v>449</v>
      </c>
      <c r="C268" s="419">
        <v>-0.30020356999999998</v>
      </c>
      <c r="D268" s="419">
        <v>0</v>
      </c>
      <c r="E268" s="419">
        <v>-0.11304865</v>
      </c>
      <c r="F268" s="419">
        <v>-5.2332468E-2</v>
      </c>
      <c r="G268" s="419">
        <v>-2.0411796000000001E-4</v>
      </c>
      <c r="H268" s="419">
        <v>-2.1013862999999999E-4</v>
      </c>
      <c r="I268" s="419">
        <v>-2.1554283E-2</v>
      </c>
      <c r="J268" s="419">
        <v>-0.16248324</v>
      </c>
      <c r="K268" s="419">
        <v>3.1819599000000001E-4</v>
      </c>
      <c r="L268" s="419">
        <v>3.3926920999999998E-4</v>
      </c>
      <c r="M268" s="419">
        <v>2.6381294000000003E-4</v>
      </c>
      <c r="N268" s="419">
        <v>4.8708047999999997E-2</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2022 Estimado</vt:lpstr>
      <vt:lpstr>Graficos</vt:lpstr>
      <vt:lpstr>Categorías GHG</vt:lpstr>
      <vt:lpstr>Indice</vt:lpstr>
      <vt:lpstr>Ppt</vt:lpstr>
      <vt:lpstr>2022 Resumen</vt:lpstr>
      <vt:lpstr>1. Demanda</vt:lpstr>
      <vt:lpstr>2. Distribución</vt:lpstr>
      <vt:lpstr>3. Transporte aéreo</vt:lpstr>
      <vt:lpstr>4. Transporte troncal</vt:lpstr>
      <vt:lpstr>5. Bienes y servicios</vt:lpstr>
      <vt:lpstr>6. Traslado colaboradores</vt:lpstr>
      <vt:lpstr>7. Energia Electrica</vt:lpstr>
      <vt:lpstr>8. Insumos y Empaque</vt:lpstr>
      <vt:lpstr>9. Residuos</vt:lpstr>
      <vt:lpstr>10. Bienes de capital</vt:lpstr>
      <vt:lpstr>11. Refrigerantes</vt:lpstr>
      <vt:lpstr>12. Viajes de Negocio</vt:lpstr>
      <vt:lpstr>13. Combustible Fuentes fijas</vt:lpstr>
      <vt:lpstr>A3 - Transporte empaque e insum</vt:lpstr>
      <vt:lpstr>A3 - Transporte colaboradores</vt:lpstr>
      <vt:lpstr>A3- Transporte colaboradores 2</vt:lpstr>
      <vt:lpstr>Factores Emisión EDGE</vt:lpstr>
      <vt:lpstr>simapro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Italo Muñoz</dc:creator>
  <cp:lastModifiedBy>Alexander Valladares</cp:lastModifiedBy>
  <dcterms:created xsi:type="dcterms:W3CDTF">2013-06-24T08:48:18Z</dcterms:created>
  <dcterms:modified xsi:type="dcterms:W3CDTF">2025-03-21T01:19:28Z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0x01010058AD135124DF1642BEBC60A69CC66A81</vt:lpwstr>
  </property>
</Properties>
</file>